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2.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3.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DC0B814-99A9-4A36-85A2-7AF0129CD621}" xr6:coauthVersionLast="47" xr6:coauthVersionMax="47" xr10:uidLastSave="{00000000-0000-0000-0000-000000000000}"/>
  <bookViews>
    <workbookView xWindow="-110" yWindow="-110" windowWidth="19420" windowHeight="10300" tabRatio="776" xr2:uid="{07896FA1-5B98-40BE-B1CE-D4304D751E22}"/>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G'!$A$2:$AM$124</definedName>
    <definedName name="Exh_G_var" localSheetId="20">'Exhibit G Federal'!$A$2:$AK$93</definedName>
    <definedName name="Exh_G_var" localSheetId="19">'Exhibit G State'!$A$2:$AK$121</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Share'!$B$4:$O$49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1" localSheetId="32">'Sch 4'!$A$3:$J$21</definedName>
    <definedName name="page1" localSheetId="0">'Table of Contents'!$A$1:$J$100</definedName>
    <definedName name="_xlnm.Print_Area" localSheetId="40">'Appendix E'!$A$2:$AA$30</definedName>
    <definedName name="_xlnm.Print_Area" localSheetId="41">'Appendix F'!$A$2:$P$293</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G'!$B$3:$AM$128</definedName>
    <definedName name="_xlnm.Print_Area" localSheetId="20">'Exhibit G Federal'!$B$2:$AK$96</definedName>
    <definedName name="_xlnm.Print_Area" localSheetId="19">'Exhibit G State'!$B$3:$AK$124</definedName>
    <definedName name="_xlnm.Print_Area" localSheetId="21">'Exhibit H'!$A$2:$AI$79</definedName>
    <definedName name="_xlnm.Print_Area" localSheetId="22">'Exhibit I'!$B$3:$AN$102</definedName>
    <definedName name="_xlnm.Print_Area" localSheetId="24">'Exhibit I Federal'!$B$3:$AL$84</definedName>
    <definedName name="_xlnm.Print_Area" localSheetId="23">'Exhibit I State'!$B$3:$AL$101</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Footnotes!$A$2:$O$72</definedName>
    <definedName name="_xlnm.Print_Area" localSheetId="36">'HCRA '!$A$3:$Z$62</definedName>
    <definedName name="_xlnm.Print_Area" localSheetId="37">'HCRA PROG DISB'!$A$3:$D$70</definedName>
    <definedName name="_xlnm.Print_Area" localSheetId="39">'Medicaid Disp Share'!$B$2:$O$52</definedName>
    <definedName name="_xlnm.Print_Area" localSheetId="38">'Public Goods '!$A$3:$O$52</definedName>
    <definedName name="_xlnm.Print_Area" localSheetId="29">'Sch 1 '!$A$3:$L$159</definedName>
    <definedName name="_xlnm.Print_Area" localSheetId="30">'Sch 2 '!$A$3:$K$47</definedName>
    <definedName name="_xlnm.Print_Area" localSheetId="31">'Sch 3 '!$A$2:$M$49</definedName>
    <definedName name="_xlnm.Print_Area" localSheetId="32">'Sch 4'!$A$3:$J$34</definedName>
    <definedName name="_xlnm.Print_Area" localSheetId="33">'Sch 5 '!$A$3:$S$74</definedName>
    <definedName name="_xlnm.Print_Area" localSheetId="34">'Sch 5a'!$B$3:$R$32</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5a'!$B$3:$S$30</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Federal'!$B$3:$AL$84</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State'!$B$3:$AL$101</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Federal'!$B$3:$AL$84</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State'!$B$3:$AL$101</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5a'!$B$3:$S$30</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Federal'!$B$3:$AL$84</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5a'!$B$3:$S$30</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Federal'!$B$3:$AL$84</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3" i="40" l="1"/>
  <c r="L35" i="40"/>
  <c r="L22" i="40"/>
  <c r="L16" i="40"/>
  <c r="L45" i="39"/>
  <c r="L38" i="39"/>
  <c r="L28" i="39"/>
  <c r="L22" i="39"/>
  <c r="L30" i="39" l="1"/>
  <c r="L48" i="39" s="1"/>
  <c r="L24" i="40"/>
  <c r="L46" i="40" s="1"/>
  <c r="Z26" i="43"/>
  <c r="AD12" i="2" l="1"/>
  <c r="AA21" i="22" l="1"/>
  <c r="G45" i="44" l="1"/>
  <c r="G44" i="44"/>
  <c r="I44" i="44" s="1"/>
  <c r="E44" i="44"/>
  <c r="I43" i="44"/>
  <c r="E43" i="44"/>
  <c r="I46" i="44"/>
  <c r="E46" i="44"/>
  <c r="Y81" i="24" l="1"/>
  <c r="Y80" i="24"/>
  <c r="Y79" i="24"/>
  <c r="Y63" i="25"/>
  <c r="Y62" i="25"/>
  <c r="Y61" i="25"/>
  <c r="Y79" i="23" l="1"/>
  <c r="Y80" i="23"/>
  <c r="Y81" i="23"/>
  <c r="Y58" i="25"/>
  <c r="Y25" i="24"/>
  <c r="Y25" i="23" s="1"/>
  <c r="P46" i="15" s="1"/>
  <c r="X90" i="20"/>
  <c r="V24" i="29"/>
  <c r="F23" i="6" s="1"/>
  <c r="W18" i="26"/>
  <c r="B19" i="5" s="1"/>
  <c r="Y68" i="24"/>
  <c r="X64" i="18"/>
  <c r="X63" i="18"/>
  <c r="X43" i="18"/>
  <c r="X104" i="20"/>
  <c r="V69" i="22"/>
  <c r="L49" i="2" s="1"/>
  <c r="X60" i="18"/>
  <c r="X73" i="18"/>
  <c r="Y19" i="24"/>
  <c r="Y19" i="23" s="1"/>
  <c r="P32" i="15" s="1"/>
  <c r="V24" i="27"/>
  <c r="F25" i="5" s="1"/>
  <c r="X54" i="20"/>
  <c r="X79" i="20"/>
  <c r="X44" i="18"/>
  <c r="V25" i="27"/>
  <c r="F26" i="5" s="1"/>
  <c r="X26" i="18"/>
  <c r="W17" i="26"/>
  <c r="B18" i="5" s="1"/>
  <c r="Y82" i="24"/>
  <c r="X37" i="18"/>
  <c r="X87" i="18"/>
  <c r="V26" i="28"/>
  <c r="B25" i="6" s="1"/>
  <c r="X96" i="20"/>
  <c r="Y74" i="24"/>
  <c r="Y18" i="24"/>
  <c r="Y18" i="23" s="1"/>
  <c r="P29" i="15" s="1"/>
  <c r="W26" i="26"/>
  <c r="B25" i="5" s="1"/>
  <c r="V19" i="37"/>
  <c r="V70" i="22"/>
  <c r="L50" i="2" s="1"/>
  <c r="X118" i="18"/>
  <c r="Y76" i="24"/>
  <c r="Y75" i="24"/>
  <c r="X31" i="18"/>
  <c r="X71" i="18"/>
  <c r="X77" i="20"/>
  <c r="X117" i="18"/>
  <c r="V27" i="22"/>
  <c r="L55" i="15" s="1"/>
  <c r="X31" i="20"/>
  <c r="X31" i="19" s="1"/>
  <c r="H41" i="15" s="1"/>
  <c r="X60" i="21"/>
  <c r="X84" i="18"/>
  <c r="V21" i="37"/>
  <c r="X95" i="20"/>
  <c r="Y64" i="25"/>
  <c r="X81" i="20"/>
  <c r="W105" i="17" s="1"/>
  <c r="Y41" i="24"/>
  <c r="Y41" i="23" s="1"/>
  <c r="X114" i="20"/>
  <c r="P38" i="2" l="1"/>
  <c r="P37" i="2"/>
  <c r="P36" i="2"/>
  <c r="H50" i="3"/>
  <c r="H31" i="3"/>
  <c r="H30" i="3"/>
  <c r="H39" i="3"/>
  <c r="H25" i="3"/>
  <c r="D44" i="15"/>
  <c r="D37" i="2"/>
  <c r="D45" i="15"/>
  <c r="D30" i="15"/>
  <c r="D37" i="15"/>
  <c r="W41" i="17"/>
  <c r="W41" i="16"/>
  <c r="Y82" i="23"/>
  <c r="D24" i="15"/>
  <c r="W29" i="17"/>
  <c r="W29" i="16"/>
  <c r="D36" i="2"/>
  <c r="X90" i="19"/>
  <c r="Y76" i="23"/>
  <c r="K204" i="42"/>
  <c r="I204" i="42"/>
  <c r="G204" i="42"/>
  <c r="P33" i="2" l="1"/>
  <c r="P41" i="2"/>
  <c r="H24" i="2"/>
  <c r="X21" i="18"/>
  <c r="E27" i="12"/>
  <c r="D19" i="15" l="1"/>
  <c r="W24" i="17"/>
  <c r="W24" i="16"/>
  <c r="U24" i="16"/>
  <c r="I49" i="44"/>
  <c r="E49" i="44"/>
  <c r="O33" i="40"/>
  <c r="O32" i="40"/>
  <c r="O31" i="40"/>
  <c r="O21" i="40"/>
  <c r="J43" i="40"/>
  <c r="J35" i="40"/>
  <c r="J22" i="40"/>
  <c r="J16" i="40"/>
  <c r="J45" i="39"/>
  <c r="J38" i="39"/>
  <c r="J28" i="39"/>
  <c r="J22" i="39"/>
  <c r="U41" i="17" l="1"/>
  <c r="U24" i="17"/>
  <c r="U29" i="17"/>
  <c r="U29" i="16"/>
  <c r="J24" i="40"/>
  <c r="J46" i="40" s="1"/>
  <c r="J30" i="39"/>
  <c r="J48" i="39" s="1"/>
  <c r="I19" i="44"/>
  <c r="E19" i="44"/>
  <c r="V53" i="22" l="1"/>
  <c r="L19" i="2" s="1"/>
  <c r="U23" i="17"/>
  <c r="U32" i="17"/>
  <c r="U41" i="16"/>
  <c r="S54" i="16"/>
  <c r="S54" i="17"/>
  <c r="S23" i="16"/>
  <c r="S23" i="17"/>
  <c r="S126" i="17"/>
  <c r="S32" i="17"/>
  <c r="S126" i="16"/>
  <c r="S45" i="17"/>
  <c r="S32" i="16"/>
  <c r="U48" i="17" l="1"/>
  <c r="U48" i="16"/>
  <c r="U23" i="16"/>
  <c r="U126" i="17"/>
  <c r="U118" i="17"/>
  <c r="U54" i="17"/>
  <c r="U45" i="17"/>
  <c r="U32" i="16"/>
  <c r="U54" i="16"/>
  <c r="U130" i="17"/>
  <c r="U130" i="16"/>
  <c r="U45" i="16"/>
  <c r="S130" i="17"/>
  <c r="S130" i="16"/>
  <c r="S41" i="17"/>
  <c r="S41" i="16"/>
  <c r="S48" i="17"/>
  <c r="S48" i="16"/>
  <c r="S45" i="16"/>
  <c r="Q23" i="16"/>
  <c r="Q23" i="17"/>
  <c r="Q126" i="17"/>
  <c r="Q130" i="17"/>
  <c r="Q130" i="16"/>
  <c r="Q41" i="17"/>
  <c r="Q41" i="16"/>
  <c r="O20" i="40"/>
  <c r="G11" i="42" l="1"/>
  <c r="X46" i="20"/>
  <c r="W19" i="26"/>
  <c r="B20" i="5" s="1"/>
  <c r="G209" i="42"/>
  <c r="X109" i="18"/>
  <c r="D28" i="2" s="1"/>
  <c r="I192" i="42"/>
  <c r="X43" i="21"/>
  <c r="K209" i="42"/>
  <c r="X29" i="18"/>
  <c r="Y40" i="25"/>
  <c r="Y50" i="25"/>
  <c r="Y68" i="23" s="1"/>
  <c r="X20" i="18"/>
  <c r="W23" i="17" s="1"/>
  <c r="I11" i="42"/>
  <c r="I209" i="42"/>
  <c r="V26" i="22"/>
  <c r="L53" i="15" s="1"/>
  <c r="X105" i="18"/>
  <c r="W114" i="17" s="1"/>
  <c r="X50" i="18"/>
  <c r="G103" i="42"/>
  <c r="X24" i="20"/>
  <c r="X24" i="19" s="1"/>
  <c r="H32" i="15" s="1"/>
  <c r="K192" i="42"/>
  <c r="X91" i="18"/>
  <c r="V36" i="27"/>
  <c r="F35" i="5" s="1"/>
  <c r="W27" i="26"/>
  <c r="B26" i="5" s="1"/>
  <c r="G215" i="42"/>
  <c r="V23" i="22"/>
  <c r="L45" i="15" s="1"/>
  <c r="V61" i="22"/>
  <c r="L40" i="2" s="1"/>
  <c r="K215" i="42"/>
  <c r="V48" i="22"/>
  <c r="V25" i="28"/>
  <c r="B24" i="6" s="1"/>
  <c r="K103" i="42"/>
  <c r="X72" i="21"/>
  <c r="X94" i="20"/>
  <c r="X99" i="20"/>
  <c r="X75" i="18"/>
  <c r="X67" i="20"/>
  <c r="W91" i="17" s="1"/>
  <c r="X33" i="18"/>
  <c r="D33" i="15" s="1"/>
  <c r="X74" i="21"/>
  <c r="X104" i="19" s="1"/>
  <c r="V24" i="28"/>
  <c r="B23" i="6" s="1"/>
  <c r="I262" i="42"/>
  <c r="I103" i="42"/>
  <c r="X91" i="20"/>
  <c r="V17" i="27"/>
  <c r="F18" i="5" s="1"/>
  <c r="Y69" i="24"/>
  <c r="X41" i="18"/>
  <c r="D42" i="15" s="1"/>
  <c r="V25" i="29"/>
  <c r="F24" i="6" s="1"/>
  <c r="X97" i="20"/>
  <c r="X84" i="20"/>
  <c r="X62" i="21"/>
  <c r="G262" i="42"/>
  <c r="V41" i="37"/>
  <c r="X76" i="20"/>
  <c r="I215" i="42"/>
  <c r="K11" i="42"/>
  <c r="Y57" i="24"/>
  <c r="Y57" i="23" s="1"/>
  <c r="X32" i="20"/>
  <c r="X32" i="19" s="1"/>
  <c r="H42" i="15" s="1"/>
  <c r="V43" i="22"/>
  <c r="X111" i="18"/>
  <c r="D30" i="2" s="1"/>
  <c r="K262" i="42"/>
  <c r="V17" i="22"/>
  <c r="L23" i="15" s="1"/>
  <c r="X73" i="20"/>
  <c r="X102" i="20"/>
  <c r="X44" i="20"/>
  <c r="W67" i="17" s="1"/>
  <c r="X33" i="20"/>
  <c r="X33" i="19" s="1"/>
  <c r="H43" i="15" s="1"/>
  <c r="X68" i="18"/>
  <c r="Y58" i="24"/>
  <c r="Y54" i="24"/>
  <c r="Y54" i="23" s="1"/>
  <c r="X73" i="21"/>
  <c r="V59" i="22"/>
  <c r="L37" i="2" s="1"/>
  <c r="Y24" i="24"/>
  <c r="Y24" i="23" s="1"/>
  <c r="P42" i="15" s="1"/>
  <c r="G192" i="42"/>
  <c r="X95" i="18"/>
  <c r="V26" i="27"/>
  <c r="F27" i="5" s="1"/>
  <c r="Y47" i="24"/>
  <c r="Y47" i="23" s="1"/>
  <c r="Y37" i="24"/>
  <c r="Y37" i="23" s="1"/>
  <c r="X20" i="20"/>
  <c r="X20" i="19" s="1"/>
  <c r="H28" i="15" s="1"/>
  <c r="Y49" i="24"/>
  <c r="Y49" i="23" s="1"/>
  <c r="X86" i="21"/>
  <c r="X116" i="19" s="1"/>
  <c r="V20" i="22"/>
  <c r="L28" i="15" s="1"/>
  <c r="U126" i="16"/>
  <c r="Q126" i="16"/>
  <c r="M196" i="42"/>
  <c r="I54" i="44"/>
  <c r="E54" i="44"/>
  <c r="I20" i="44"/>
  <c r="E20" i="44"/>
  <c r="I28" i="45"/>
  <c r="E28" i="45"/>
  <c r="P25" i="2" l="1"/>
  <c r="H26" i="3"/>
  <c r="H20" i="3"/>
  <c r="H38" i="2"/>
  <c r="H32" i="3"/>
  <c r="H50" i="2"/>
  <c r="H34" i="3"/>
  <c r="H29" i="3"/>
  <c r="X102" i="19"/>
  <c r="W130" i="17"/>
  <c r="W130" i="16"/>
  <c r="W48" i="16"/>
  <c r="W48" i="17"/>
  <c r="W126" i="17"/>
  <c r="H37" i="3"/>
  <c r="Y58" i="23"/>
  <c r="I265" i="42"/>
  <c r="K265" i="42"/>
  <c r="D24" i="2"/>
  <c r="W120" i="17"/>
  <c r="X73" i="19"/>
  <c r="G265" i="42"/>
  <c r="W32" i="16"/>
  <c r="W45" i="17"/>
  <c r="L14" i="2"/>
  <c r="D18" i="15"/>
  <c r="D28" i="15"/>
  <c r="W32" i="17"/>
  <c r="W23" i="16"/>
  <c r="D52" i="15"/>
  <c r="W54" i="16"/>
  <c r="W54" i="17"/>
  <c r="W45" i="16"/>
  <c r="W118" i="17"/>
  <c r="O81" i="23"/>
  <c r="AB12" i="16"/>
  <c r="A50" i="7"/>
  <c r="G12" i="34"/>
  <c r="H36" i="2" l="1"/>
  <c r="W126" i="16"/>
  <c r="O41" i="17"/>
  <c r="O41" i="16"/>
  <c r="O79" i="23"/>
  <c r="O80" i="23"/>
  <c r="A52" i="8"/>
  <c r="AB12" i="2"/>
  <c r="K11" i="30"/>
  <c r="C11" i="30" s="1"/>
  <c r="V18" i="37" l="1"/>
  <c r="X23" i="20"/>
  <c r="X45" i="20"/>
  <c r="W68" i="17" s="1"/>
  <c r="X46" i="21"/>
  <c r="X76" i="19" s="1"/>
  <c r="X54" i="21"/>
  <c r="X84" i="19" s="1"/>
  <c r="U68" i="17"/>
  <c r="S68" i="17"/>
  <c r="E33" i="12"/>
  <c r="E37" i="12" s="1"/>
  <c r="Q68" i="17"/>
  <c r="M86" i="42"/>
  <c r="Z10" i="43"/>
  <c r="D8" i="38"/>
  <c r="A10" i="1"/>
  <c r="O3" i="4"/>
  <c r="F10" i="36" s="1"/>
  <c r="T15" i="5"/>
  <c r="M81" i="23"/>
  <c r="M80" i="23"/>
  <c r="M79" i="23"/>
  <c r="O44" i="39"/>
  <c r="O42" i="39"/>
  <c r="O41" i="39"/>
  <c r="O37" i="39"/>
  <c r="O35" i="39"/>
  <c r="O34" i="39"/>
  <c r="O27" i="39"/>
  <c r="O26" i="39"/>
  <c r="O25" i="39"/>
  <c r="O16" i="39"/>
  <c r="O17" i="39"/>
  <c r="O18" i="39"/>
  <c r="O19" i="39"/>
  <c r="O20" i="39"/>
  <c r="O21" i="39"/>
  <c r="O15" i="39"/>
  <c r="H45" i="39"/>
  <c r="H38" i="39"/>
  <c r="H28" i="39"/>
  <c r="H22" i="39"/>
  <c r="O42" i="40"/>
  <c r="O41" i="40"/>
  <c r="O39" i="40"/>
  <c r="O38" i="40"/>
  <c r="O29" i="40"/>
  <c r="O28" i="40"/>
  <c r="O19" i="40"/>
  <c r="O15" i="40"/>
  <c r="H43" i="40"/>
  <c r="H35" i="40"/>
  <c r="H22" i="40"/>
  <c r="H16" i="40"/>
  <c r="Z23" i="43"/>
  <c r="J40" i="43"/>
  <c r="J36" i="43"/>
  <c r="J17" i="43"/>
  <c r="H19" i="2" l="1"/>
  <c r="X23" i="19"/>
  <c r="W35" i="17"/>
  <c r="X49" i="18"/>
  <c r="Y43" i="25"/>
  <c r="X66" i="21"/>
  <c r="X96" i="19" s="1"/>
  <c r="V15" i="37"/>
  <c r="X55" i="20"/>
  <c r="W79" i="17" s="1"/>
  <c r="X113" i="18"/>
  <c r="W28" i="26"/>
  <c r="B27" i="5" s="1"/>
  <c r="V42" i="22"/>
  <c r="X32" i="21"/>
  <c r="Y92" i="24"/>
  <c r="U35" i="17"/>
  <c r="U79" i="17"/>
  <c r="S35" i="17"/>
  <c r="S79" i="17"/>
  <c r="Q35" i="17"/>
  <c r="Q79" i="17"/>
  <c r="O35" i="17"/>
  <c r="AA72" i="22"/>
  <c r="O24" i="23"/>
  <c r="N31" i="19"/>
  <c r="N24" i="19"/>
  <c r="C7" i="44"/>
  <c r="E9" i="44" s="1"/>
  <c r="A8" i="30"/>
  <c r="E12" i="34"/>
  <c r="H30" i="39"/>
  <c r="H48" i="39" s="1"/>
  <c r="J42" i="43"/>
  <c r="L31" i="19"/>
  <c r="L24" i="19"/>
  <c r="M24" i="23"/>
  <c r="H24" i="40"/>
  <c r="H46" i="40" s="1"/>
  <c r="H30" i="2" l="1"/>
  <c r="D32" i="2"/>
  <c r="W53" i="16"/>
  <c r="D51" i="15"/>
  <c r="W53" i="17"/>
  <c r="W35" i="16"/>
  <c r="H31" i="15"/>
  <c r="U35" i="16"/>
  <c r="U53" i="17"/>
  <c r="U53" i="16"/>
  <c r="S35" i="16"/>
  <c r="S53" i="16"/>
  <c r="S53" i="17"/>
  <c r="Q53" i="16"/>
  <c r="Q53" i="17"/>
  <c r="Q35" i="16"/>
  <c r="O35" i="16"/>
  <c r="O53" i="17"/>
  <c r="O53" i="16"/>
  <c r="C8" i="38"/>
  <c r="M41" i="17"/>
  <c r="M41" i="16"/>
  <c r="M53" i="16"/>
  <c r="M53" i="17"/>
  <c r="N23" i="19"/>
  <c r="M35" i="17"/>
  <c r="K35" i="17"/>
  <c r="L23" i="19"/>
  <c r="K53" i="16"/>
  <c r="K53" i="17"/>
  <c r="K41" i="16"/>
  <c r="K41" i="17"/>
  <c r="M35" i="16" l="1"/>
  <c r="K35" i="16"/>
  <c r="AB34" i="2" l="1"/>
  <c r="AB20" i="2"/>
  <c r="C31" i="9" l="1"/>
  <c r="Z116" i="20"/>
  <c r="H116" i="20"/>
  <c r="F116" i="20"/>
  <c r="D116" i="20"/>
  <c r="Z100" i="20"/>
  <c r="Z107" i="20" s="1"/>
  <c r="H100" i="20"/>
  <c r="H107" i="20" s="1"/>
  <c r="F100" i="20"/>
  <c r="F107" i="20" s="1"/>
  <c r="D100" i="20"/>
  <c r="D107" i="20" s="1"/>
  <c r="Z82" i="20"/>
  <c r="H82" i="20"/>
  <c r="F82" i="20"/>
  <c r="D82" i="20"/>
  <c r="Z36" i="20"/>
  <c r="H36" i="20"/>
  <c r="F36" i="20"/>
  <c r="D36" i="20"/>
  <c r="Z29" i="20"/>
  <c r="H29" i="20"/>
  <c r="F29" i="20"/>
  <c r="D29" i="20"/>
  <c r="Z9" i="43"/>
  <c r="G11" i="34"/>
  <c r="D38" i="20" l="1"/>
  <c r="D86" i="20" s="1"/>
  <c r="D110" i="20" s="1"/>
  <c r="D120" i="20" s="1"/>
  <c r="Z38" i="20"/>
  <c r="Z86" i="20" s="1"/>
  <c r="Z110" i="20" s="1"/>
  <c r="Z120" i="20" s="1"/>
  <c r="Z122" i="20" s="1"/>
  <c r="H38" i="20"/>
  <c r="H86" i="20" s="1"/>
  <c r="H110" i="20" s="1"/>
  <c r="H120" i="20" s="1"/>
  <c r="F38" i="20"/>
  <c r="F86" i="20" s="1"/>
  <c r="F110" i="20" s="1"/>
  <c r="F120" i="20" s="1"/>
  <c r="AI24" i="20" l="1"/>
  <c r="AK24" i="20" s="1"/>
  <c r="E45" i="44" l="1"/>
  <c r="C7" i="45"/>
  <c r="G7" i="44"/>
  <c r="G7" i="45" s="1"/>
  <c r="M197" i="42"/>
  <c r="M198" i="42"/>
  <c r="M200" i="42"/>
  <c r="M201" i="42"/>
  <c r="M203" i="42"/>
  <c r="M195" i="42"/>
  <c r="I12" i="34" l="1"/>
  <c r="Q12" i="34"/>
  <c r="AE28" i="24" l="1"/>
  <c r="AB26" i="22"/>
  <c r="AB14" i="16" l="1"/>
  <c r="B6" i="35"/>
  <c r="A6" i="16"/>
  <c r="A5" i="44" s="1"/>
  <c r="A6" i="41" l="1"/>
  <c r="A6" i="43"/>
  <c r="L33" i="19"/>
  <c r="M40" i="23"/>
  <c r="M19" i="23"/>
  <c r="K36" i="16" s="1"/>
  <c r="L26" i="19"/>
  <c r="L70" i="19"/>
  <c r="M23" i="23"/>
  <c r="M76" i="23"/>
  <c r="L34" i="19"/>
  <c r="L55" i="19"/>
  <c r="L75" i="19"/>
  <c r="L80" i="19"/>
  <c r="K91" i="17"/>
  <c r="L28" i="19"/>
  <c r="M57" i="23"/>
  <c r="M55" i="23"/>
  <c r="L79" i="19"/>
  <c r="L57" i="19"/>
  <c r="K81" i="16" s="1"/>
  <c r="L22" i="19"/>
  <c r="M25" i="23"/>
  <c r="M90" i="23"/>
  <c r="L81" i="19"/>
  <c r="K105" i="16" s="1"/>
  <c r="L51" i="19"/>
  <c r="K75" i="16" s="1"/>
  <c r="L20" i="19"/>
  <c r="K32" i="16" s="1"/>
  <c r="M20" i="23"/>
  <c r="K36" i="17"/>
  <c r="L21" i="19"/>
  <c r="M75" i="25"/>
  <c r="M18" i="23"/>
  <c r="M92" i="23"/>
  <c r="L99" i="19"/>
  <c r="K105" i="17"/>
  <c r="L46" i="19"/>
  <c r="K69" i="16" s="1"/>
  <c r="L45" i="19"/>
  <c r="M28" i="23"/>
  <c r="M54" i="23"/>
  <c r="L27" i="19"/>
  <c r="L25" i="19"/>
  <c r="K74" i="17"/>
  <c r="M56" i="23"/>
  <c r="K79" i="17"/>
  <c r="L44" i="19"/>
  <c r="M37" i="23"/>
  <c r="L35" i="19"/>
  <c r="L90" i="19"/>
  <c r="M41" i="23"/>
  <c r="L97" i="19"/>
  <c r="L103" i="19"/>
  <c r="M48" i="23"/>
  <c r="M49" i="23"/>
  <c r="L65" i="19"/>
  <c r="L52" i="19"/>
  <c r="K76" i="16" s="1"/>
  <c r="K99" i="17"/>
  <c r="L73" i="19"/>
  <c r="M42" i="23"/>
  <c r="L62" i="19"/>
  <c r="L71" i="19"/>
  <c r="K95" i="16" s="1"/>
  <c r="L66" i="19"/>
  <c r="K90" i="16" s="1"/>
  <c r="M61" i="23"/>
  <c r="M35" i="23"/>
  <c r="K86" i="17"/>
  <c r="M44" i="23"/>
  <c r="L61" i="19"/>
  <c r="M68" i="23"/>
  <c r="L106" i="19"/>
  <c r="K88" i="17"/>
  <c r="M39" i="23"/>
  <c r="L64" i="19"/>
  <c r="K81" i="17"/>
  <c r="K90" i="17"/>
  <c r="M67" i="23"/>
  <c r="K78" i="17"/>
  <c r="L94" i="19"/>
  <c r="L77" i="19"/>
  <c r="L29" i="20"/>
  <c r="L96" i="19"/>
  <c r="M45" i="23"/>
  <c r="M52" i="23"/>
  <c r="L68" i="19"/>
  <c r="K67" i="17"/>
  <c r="K118" i="17"/>
  <c r="K72" i="17"/>
  <c r="M69" i="23"/>
  <c r="L54" i="19"/>
  <c r="L116" i="20"/>
  <c r="K102" i="17"/>
  <c r="K77" i="17"/>
  <c r="K114" i="17"/>
  <c r="K32" i="17"/>
  <c r="M47" i="23"/>
  <c r="L67" i="19"/>
  <c r="K85" i="17"/>
  <c r="K25" i="16"/>
  <c r="K72" i="16"/>
  <c r="K70" i="17"/>
  <c r="M72" i="23"/>
  <c r="C13" i="16"/>
  <c r="A6" i="34"/>
  <c r="A7" i="30"/>
  <c r="N13" i="35"/>
  <c r="N12" i="35"/>
  <c r="AD9" i="19"/>
  <c r="Z10" i="29"/>
  <c r="Z10" i="28"/>
  <c r="Z10" i="27"/>
  <c r="AA10" i="26"/>
  <c r="AC9" i="25"/>
  <c r="AC9" i="24"/>
  <c r="AE9" i="23"/>
  <c r="Z9" i="22"/>
  <c r="AB9" i="18"/>
  <c r="AB12" i="17"/>
  <c r="A5" i="14"/>
  <c r="A5" i="13"/>
  <c r="A5" i="12"/>
  <c r="A5" i="11"/>
  <c r="A5" i="10"/>
  <c r="K123" i="16" l="1"/>
  <c r="K78" i="16"/>
  <c r="O76" i="23"/>
  <c r="N102" i="19"/>
  <c r="AI102" i="20"/>
  <c r="AK102" i="20" s="1"/>
  <c r="N32" i="19"/>
  <c r="N84" i="19"/>
  <c r="N76" i="19"/>
  <c r="K103" i="16"/>
  <c r="K91" i="16"/>
  <c r="K85" i="16"/>
  <c r="K94" i="16"/>
  <c r="K86" i="16"/>
  <c r="K101" i="16"/>
  <c r="K122" i="17"/>
  <c r="L98" i="19"/>
  <c r="K116" i="17"/>
  <c r="K127" i="17"/>
  <c r="K94" i="17"/>
  <c r="K67" i="16"/>
  <c r="K47" i="17"/>
  <c r="K47" i="16"/>
  <c r="K46" i="16"/>
  <c r="K46" i="17"/>
  <c r="M91" i="23"/>
  <c r="K68" i="17"/>
  <c r="K68" i="16"/>
  <c r="K100" i="17"/>
  <c r="L76" i="19"/>
  <c r="K100" i="16" s="1"/>
  <c r="M26" i="23"/>
  <c r="M75" i="23"/>
  <c r="K56" i="16"/>
  <c r="K56" i="17"/>
  <c r="L29" i="19"/>
  <c r="K39" i="17"/>
  <c r="K140" i="17"/>
  <c r="M73" i="23"/>
  <c r="K120" i="16" s="1"/>
  <c r="L78" i="19"/>
  <c r="K102" i="16" s="1"/>
  <c r="L92" i="19"/>
  <c r="K116" i="16" s="1"/>
  <c r="L84" i="19"/>
  <c r="M21" i="23"/>
  <c r="K76" i="17"/>
  <c r="J25" i="37"/>
  <c r="K34" i="17"/>
  <c r="K34" i="16"/>
  <c r="K104" i="17"/>
  <c r="L53" i="19"/>
  <c r="K77" i="16" s="1"/>
  <c r="K92" i="17"/>
  <c r="K97" i="17"/>
  <c r="K48" i="16"/>
  <c r="K48" i="17"/>
  <c r="M71" i="23"/>
  <c r="K118" i="16" s="1"/>
  <c r="K21" i="16"/>
  <c r="K21" i="17"/>
  <c r="K28" i="17"/>
  <c r="K28" i="16"/>
  <c r="M74" i="23"/>
  <c r="K25" i="17"/>
  <c r="K44" i="17"/>
  <c r="K44" i="16"/>
  <c r="M82" i="23"/>
  <c r="L115" i="19"/>
  <c r="K23" i="17"/>
  <c r="K23" i="16"/>
  <c r="K24" i="17"/>
  <c r="K24" i="16"/>
  <c r="K121" i="17"/>
  <c r="K119" i="17"/>
  <c r="K98" i="17"/>
  <c r="L74" i="19"/>
  <c r="K98" i="16" s="1"/>
  <c r="K39" i="16"/>
  <c r="M53" i="23"/>
  <c r="K97" i="16" s="1"/>
  <c r="L107" i="19"/>
  <c r="K131" i="17"/>
  <c r="K88" i="16"/>
  <c r="J42" i="37"/>
  <c r="K114" i="16"/>
  <c r="K127" i="16"/>
  <c r="L102" i="19"/>
  <c r="K126" i="16" s="1"/>
  <c r="K120" i="17"/>
  <c r="K103" i="17"/>
  <c r="K73" i="17"/>
  <c r="L49" i="19"/>
  <c r="K73" i="16" s="1"/>
  <c r="L59" i="19"/>
  <c r="K83" i="16" s="1"/>
  <c r="K83" i="17"/>
  <c r="K65" i="16"/>
  <c r="K65" i="17"/>
  <c r="L100" i="20"/>
  <c r="L107" i="20" s="1"/>
  <c r="M41" i="25"/>
  <c r="M45" i="25" s="1"/>
  <c r="K96" i="17"/>
  <c r="L72" i="19"/>
  <c r="K96" i="16" s="1"/>
  <c r="K38" i="16"/>
  <c r="K38" i="17"/>
  <c r="M43" i="23"/>
  <c r="K79" i="16" s="1"/>
  <c r="K37" i="16"/>
  <c r="K37" i="17"/>
  <c r="K40" i="17"/>
  <c r="K40" i="16"/>
  <c r="K27" i="17"/>
  <c r="K57" i="17"/>
  <c r="K57" i="16"/>
  <c r="K29" i="16"/>
  <c r="K29" i="17"/>
  <c r="M29" i="23"/>
  <c r="L104" i="19"/>
  <c r="K22" i="17"/>
  <c r="K22" i="16"/>
  <c r="L36" i="20"/>
  <c r="K45" i="17"/>
  <c r="L32" i="19"/>
  <c r="L47" i="19"/>
  <c r="K70" i="16" s="1"/>
  <c r="K95" i="17"/>
  <c r="K52" i="17"/>
  <c r="K52" i="16"/>
  <c r="J33" i="37"/>
  <c r="L91" i="19"/>
  <c r="K49" i="16"/>
  <c r="K49" i="17"/>
  <c r="K64" i="17"/>
  <c r="L82" i="20"/>
  <c r="L42" i="19"/>
  <c r="L60" i="19"/>
  <c r="K84" i="16" s="1"/>
  <c r="K84" i="17"/>
  <c r="L116" i="19"/>
  <c r="M50" i="23"/>
  <c r="K92" i="16" s="1"/>
  <c r="K75" i="17"/>
  <c r="K69" i="17"/>
  <c r="K115" i="17"/>
  <c r="K33" i="16"/>
  <c r="K33" i="17"/>
  <c r="L50" i="19"/>
  <c r="K74" i="16" s="1"/>
  <c r="M58" i="23"/>
  <c r="K104" i="16" s="1"/>
  <c r="L95" i="19"/>
  <c r="K54" i="16"/>
  <c r="K54" i="17"/>
  <c r="K126" i="17"/>
  <c r="L17" i="19"/>
  <c r="K55" i="17"/>
  <c r="K55" i="16"/>
  <c r="K123" i="17"/>
  <c r="K130" i="16"/>
  <c r="K130" i="17"/>
  <c r="M59" i="25"/>
  <c r="M66" i="25" s="1"/>
  <c r="K89" i="16"/>
  <c r="K89" i="17"/>
  <c r="K99" i="16"/>
  <c r="K128" i="17"/>
  <c r="K82" i="17"/>
  <c r="L58" i="19"/>
  <c r="K82" i="16" s="1"/>
  <c r="K101" i="17"/>
  <c r="K139" i="17"/>
  <c r="C12" i="34"/>
  <c r="C10" i="41"/>
  <c r="U13" i="16"/>
  <c r="U10" i="41" s="1"/>
  <c r="A5" i="9"/>
  <c r="A5" i="8"/>
  <c r="O92" i="23" l="1"/>
  <c r="O57" i="23"/>
  <c r="K142" i="17"/>
  <c r="K42" i="17"/>
  <c r="K58" i="17"/>
  <c r="J44" i="37"/>
  <c r="K119" i="16"/>
  <c r="K124" i="17"/>
  <c r="K133" i="17" s="1"/>
  <c r="K58" i="16"/>
  <c r="K42" i="16"/>
  <c r="K45" i="16"/>
  <c r="K50" i="16" s="1"/>
  <c r="L36" i="19"/>
  <c r="L118" i="19"/>
  <c r="K106" i="17"/>
  <c r="K115" i="16"/>
  <c r="L100" i="19"/>
  <c r="L109" i="19" s="1"/>
  <c r="L38" i="20"/>
  <c r="L86" i="20" s="1"/>
  <c r="L110" i="20" s="1"/>
  <c r="L120" i="20" s="1"/>
  <c r="K26" i="17"/>
  <c r="K30" i="17" s="1"/>
  <c r="K26" i="16"/>
  <c r="K30" i="16" s="1"/>
  <c r="M77" i="23"/>
  <c r="M84" i="23" s="1"/>
  <c r="M94" i="23"/>
  <c r="M59" i="23"/>
  <c r="K122" i="16"/>
  <c r="K50" i="17"/>
  <c r="M69" i="25"/>
  <c r="M79" i="25" s="1"/>
  <c r="K121" i="16"/>
  <c r="K64" i="16"/>
  <c r="K106" i="16" s="1"/>
  <c r="L82" i="19"/>
  <c r="K128" i="16"/>
  <c r="K131" i="16"/>
  <c r="M31" i="23"/>
  <c r="Q27" i="14"/>
  <c r="O27" i="14"/>
  <c r="N34" i="19" l="1"/>
  <c r="O23" i="23"/>
  <c r="N73" i="19"/>
  <c r="O52" i="23"/>
  <c r="N28" i="19"/>
  <c r="M40" i="17" s="1"/>
  <c r="O25" i="23"/>
  <c r="O71" i="23"/>
  <c r="N106" i="19"/>
  <c r="O53" i="23"/>
  <c r="AI79" i="20"/>
  <c r="AK79" i="20" s="1"/>
  <c r="N45" i="19"/>
  <c r="N77" i="19"/>
  <c r="O82" i="23"/>
  <c r="O69" i="23"/>
  <c r="O19" i="23"/>
  <c r="M36" i="16" s="1"/>
  <c r="N21" i="19"/>
  <c r="O68" i="23"/>
  <c r="O20" i="23"/>
  <c r="O72" i="23"/>
  <c r="O18" i="23"/>
  <c r="O42" i="23"/>
  <c r="M72" i="16"/>
  <c r="O90" i="23"/>
  <c r="O67" i="23"/>
  <c r="N22" i="19"/>
  <c r="M34" i="16" s="1"/>
  <c r="N75" i="19"/>
  <c r="M99" i="16" s="1"/>
  <c r="N33" i="19"/>
  <c r="N44" i="19"/>
  <c r="O41" i="23"/>
  <c r="M94" i="17"/>
  <c r="O55" i="23"/>
  <c r="M100" i="16" s="1"/>
  <c r="O61" i="23"/>
  <c r="M76" i="17"/>
  <c r="N55" i="19"/>
  <c r="N27" i="19"/>
  <c r="O47" i="23"/>
  <c r="M70" i="17"/>
  <c r="O56" i="23"/>
  <c r="M86" i="17"/>
  <c r="O75" i="23"/>
  <c r="N68" i="19"/>
  <c r="O73" i="23"/>
  <c r="AI32" i="20"/>
  <c r="AK32" i="20" s="1"/>
  <c r="M74" i="17"/>
  <c r="M79" i="17"/>
  <c r="N62" i="19"/>
  <c r="N25" i="19"/>
  <c r="M37" i="16" s="1"/>
  <c r="M103" i="17"/>
  <c r="O35" i="23"/>
  <c r="M65" i="16" s="1"/>
  <c r="O50" i="23"/>
  <c r="M65" i="17"/>
  <c r="O28" i="23"/>
  <c r="M55" i="16" s="1"/>
  <c r="N97" i="19"/>
  <c r="N74" i="19"/>
  <c r="O40" i="23"/>
  <c r="N46" i="19"/>
  <c r="M69" i="16" s="1"/>
  <c r="N26" i="19"/>
  <c r="O37" i="23"/>
  <c r="M105" i="17"/>
  <c r="O45" i="23"/>
  <c r="M78" i="17"/>
  <c r="N91" i="19"/>
  <c r="N99" i="19"/>
  <c r="M47" i="17"/>
  <c r="N61" i="19"/>
  <c r="N72" i="19"/>
  <c r="M96" i="16" s="1"/>
  <c r="N65" i="19"/>
  <c r="M89" i="16" s="1"/>
  <c r="M57" i="16"/>
  <c r="M95" i="17"/>
  <c r="O54" i="23"/>
  <c r="N35" i="19"/>
  <c r="M92" i="17"/>
  <c r="N79" i="19"/>
  <c r="M103" i="16" s="1"/>
  <c r="M77" i="17"/>
  <c r="M32" i="17"/>
  <c r="N51" i="19"/>
  <c r="M75" i="16" s="1"/>
  <c r="N67" i="19"/>
  <c r="M98" i="17"/>
  <c r="M91" i="17"/>
  <c r="M46" i="17"/>
  <c r="N66" i="19"/>
  <c r="M90" i="16" s="1"/>
  <c r="N70" i="19"/>
  <c r="M28" i="16"/>
  <c r="M75" i="17"/>
  <c r="M116" i="17"/>
  <c r="M34" i="17"/>
  <c r="M72" i="17"/>
  <c r="N71" i="19"/>
  <c r="M95" i="16" s="1"/>
  <c r="M22" i="17"/>
  <c r="M22" i="16"/>
  <c r="N36" i="20"/>
  <c r="M83" i="17"/>
  <c r="N59" i="19"/>
  <c r="M83" i="16" s="1"/>
  <c r="N107" i="19"/>
  <c r="M131" i="17"/>
  <c r="M130" i="17"/>
  <c r="M130" i="16"/>
  <c r="N54" i="19"/>
  <c r="M27" i="17"/>
  <c r="N104" i="19"/>
  <c r="M126" i="16"/>
  <c r="M126" i="17"/>
  <c r="M56" i="16"/>
  <c r="M56" i="17"/>
  <c r="N96" i="19"/>
  <c r="M23" i="17"/>
  <c r="M23" i="16"/>
  <c r="O43" i="23"/>
  <c r="M102" i="17"/>
  <c r="M89" i="17"/>
  <c r="M121" i="17"/>
  <c r="M96" i="17"/>
  <c r="M99" i="17"/>
  <c r="N49" i="19"/>
  <c r="M73" i="16" s="1"/>
  <c r="M73" i="17"/>
  <c r="M38" i="17"/>
  <c r="M57" i="17"/>
  <c r="M28" i="17"/>
  <c r="O58" i="23"/>
  <c r="M118" i="17"/>
  <c r="M82" i="17"/>
  <c r="N58" i="19"/>
  <c r="M82" i="16" s="1"/>
  <c r="M29" i="16"/>
  <c r="M29" i="17"/>
  <c r="O49" i="23"/>
  <c r="M69" i="17"/>
  <c r="N29" i="20"/>
  <c r="M88" i="17"/>
  <c r="N64" i="19"/>
  <c r="N52" i="19"/>
  <c r="N95" i="19"/>
  <c r="O74" i="23"/>
  <c r="M101" i="17"/>
  <c r="M123" i="17"/>
  <c r="M119" i="17"/>
  <c r="M44" i="17"/>
  <c r="M55" i="17"/>
  <c r="N103" i="19"/>
  <c r="M52" i="16"/>
  <c r="M52" i="17"/>
  <c r="M127" i="17"/>
  <c r="O48" i="23"/>
  <c r="N17" i="19"/>
  <c r="M84" i="17"/>
  <c r="N60" i="19"/>
  <c r="M84" i="16" s="1"/>
  <c r="N47" i="19"/>
  <c r="M70" i="16" s="1"/>
  <c r="M39" i="17"/>
  <c r="N54" i="18"/>
  <c r="M85" i="17"/>
  <c r="M24" i="16"/>
  <c r="M24" i="17"/>
  <c r="O44" i="23"/>
  <c r="O39" i="23"/>
  <c r="N94" i="19"/>
  <c r="M54" i="17"/>
  <c r="M54" i="16"/>
  <c r="M48" i="17"/>
  <c r="M48" i="16"/>
  <c r="M81" i="17"/>
  <c r="N57" i="19"/>
  <c r="M81" i="16" s="1"/>
  <c r="N38" i="18"/>
  <c r="M49" i="17"/>
  <c r="N20" i="19"/>
  <c r="M122" i="17"/>
  <c r="N98" i="19"/>
  <c r="O91" i="23"/>
  <c r="N80" i="19"/>
  <c r="N50" i="19"/>
  <c r="M97" i="17"/>
  <c r="M120" i="17"/>
  <c r="N81" i="19"/>
  <c r="M105" i="16" s="1"/>
  <c r="M63" i="23"/>
  <c r="M87" i="23" s="1"/>
  <c r="M98" i="23" s="1"/>
  <c r="L38" i="19"/>
  <c r="L86" i="19" s="1"/>
  <c r="L112" i="19" s="1"/>
  <c r="L122" i="19" s="1"/>
  <c r="K60" i="17"/>
  <c r="K60" i="16"/>
  <c r="K124" i="16"/>
  <c r="K133" i="16" s="1"/>
  <c r="E31" i="9"/>
  <c r="AB9" i="20"/>
  <c r="AB9" i="21"/>
  <c r="AB51" i="2"/>
  <c r="M49" i="16" l="1"/>
  <c r="M85" i="16"/>
  <c r="M88" i="16"/>
  <c r="M98" i="16"/>
  <c r="M115" i="16"/>
  <c r="O26" i="23"/>
  <c r="O21" i="23"/>
  <c r="M67" i="16"/>
  <c r="M44" i="16"/>
  <c r="N36" i="19"/>
  <c r="M79" i="16"/>
  <c r="M123" i="16"/>
  <c r="M91" i="16"/>
  <c r="M94" i="16"/>
  <c r="M39" i="16"/>
  <c r="M140" i="17"/>
  <c r="O77" i="23"/>
  <c r="O84" i="23" s="1"/>
  <c r="M46" i="16"/>
  <c r="N97" i="18"/>
  <c r="M67" i="17"/>
  <c r="M76" i="16"/>
  <c r="M92" i="16"/>
  <c r="M47" i="16"/>
  <c r="M37" i="17"/>
  <c r="M101" i="16"/>
  <c r="N53" i="19"/>
  <c r="M77" i="16" s="1"/>
  <c r="M40" i="16"/>
  <c r="M78" i="16"/>
  <c r="N100" i="20"/>
  <c r="N107" i="20" s="1"/>
  <c r="M74" i="16"/>
  <c r="N46" i="18"/>
  <c r="M21" i="16"/>
  <c r="N23" i="18"/>
  <c r="N27" i="18" s="1"/>
  <c r="M21" i="17"/>
  <c r="M104" i="17"/>
  <c r="M33" i="17"/>
  <c r="O29" i="23"/>
  <c r="N116" i="19"/>
  <c r="N115" i="18"/>
  <c r="N121" i="18" s="1"/>
  <c r="N115" i="19"/>
  <c r="M97" i="16"/>
  <c r="M38" i="16"/>
  <c r="M25" i="16"/>
  <c r="M25" i="17"/>
  <c r="N90" i="19"/>
  <c r="M114" i="16" s="1"/>
  <c r="M86" i="16"/>
  <c r="M100" i="17"/>
  <c r="M45" i="17"/>
  <c r="M50" i="17" s="1"/>
  <c r="M45" i="16"/>
  <c r="N116" i="20"/>
  <c r="M36" i="17"/>
  <c r="N78" i="19"/>
  <c r="M102" i="16" s="1"/>
  <c r="M64" i="17"/>
  <c r="N42" i="19"/>
  <c r="M64" i="16" s="1"/>
  <c r="M114" i="17"/>
  <c r="M33" i="16"/>
  <c r="N82" i="20"/>
  <c r="M128" i="17"/>
  <c r="N92" i="19"/>
  <c r="M68" i="17"/>
  <c r="M68" i="16"/>
  <c r="M90" i="17"/>
  <c r="M115" i="17"/>
  <c r="M121" i="16"/>
  <c r="M104" i="16"/>
  <c r="M118" i="16"/>
  <c r="O59" i="23"/>
  <c r="M120" i="16"/>
  <c r="M119" i="16"/>
  <c r="M58" i="17"/>
  <c r="M122" i="16"/>
  <c r="M58" i="16"/>
  <c r="M127" i="16"/>
  <c r="M32" i="16"/>
  <c r="N29" i="19"/>
  <c r="N38" i="20"/>
  <c r="M128" i="16"/>
  <c r="M131" i="16"/>
  <c r="AE14" i="16"/>
  <c r="P13" i="35" s="1"/>
  <c r="N49" i="2"/>
  <c r="N37" i="2"/>
  <c r="O204" i="42" l="1"/>
  <c r="M199" i="42"/>
  <c r="M202" i="42"/>
  <c r="M124" i="17"/>
  <c r="M133" i="17" s="1"/>
  <c r="M26" i="16"/>
  <c r="M30" i="16" s="1"/>
  <c r="M26" i="17"/>
  <c r="M30" i="17" s="1"/>
  <c r="M50" i="16"/>
  <c r="N86" i="20"/>
  <c r="N110" i="20" s="1"/>
  <c r="N120" i="20" s="1"/>
  <c r="M42" i="17"/>
  <c r="N100" i="19"/>
  <c r="N109" i="19" s="1"/>
  <c r="O31" i="23"/>
  <c r="O63" i="23" s="1"/>
  <c r="O87" i="23" s="1"/>
  <c r="N56" i="18"/>
  <c r="N101" i="18" s="1"/>
  <c r="N124" i="18" s="1"/>
  <c r="M42" i="16"/>
  <c r="M116" i="16"/>
  <c r="M124" i="16" s="1"/>
  <c r="M133" i="16" s="1"/>
  <c r="M106" i="16"/>
  <c r="N82" i="19"/>
  <c r="N118" i="19"/>
  <c r="M139" i="17"/>
  <c r="M142" i="17" s="1"/>
  <c r="M106" i="17"/>
  <c r="N38" i="19"/>
  <c r="F32" i="2"/>
  <c r="M204" i="42" l="1"/>
  <c r="M60" i="16"/>
  <c r="M60" i="17"/>
  <c r="N86" i="19"/>
  <c r="N112" i="19" s="1"/>
  <c r="N122" i="19" s="1"/>
  <c r="A45" i="10" l="1"/>
  <c r="A53" i="9"/>
  <c r="K40" i="9" l="1"/>
  <c r="H17" i="43"/>
  <c r="K41" i="9" l="1"/>
  <c r="I45" i="44"/>
  <c r="K81" i="23" l="1"/>
  <c r="K90" i="23"/>
  <c r="K55" i="23"/>
  <c r="K28" i="23"/>
  <c r="K25" i="23"/>
  <c r="K24" i="23"/>
  <c r="K23" i="23"/>
  <c r="K20" i="23"/>
  <c r="K19" i="23"/>
  <c r="K18" i="23"/>
  <c r="J106" i="19"/>
  <c r="I105" i="17"/>
  <c r="I88" i="17"/>
  <c r="J49" i="19"/>
  <c r="I73" i="16" s="1"/>
  <c r="J35" i="19"/>
  <c r="J34" i="19"/>
  <c r="J33" i="19"/>
  <c r="J28" i="19"/>
  <c r="J27" i="19"/>
  <c r="J26" i="19"/>
  <c r="J23" i="19"/>
  <c r="J21" i="19"/>
  <c r="W39" i="14"/>
  <c r="K39" i="14"/>
  <c r="K39" i="12"/>
  <c r="W41" i="11"/>
  <c r="K41" i="11"/>
  <c r="K32" i="11"/>
  <c r="K49" i="9"/>
  <c r="K79" i="23" l="1"/>
  <c r="J116" i="20"/>
  <c r="J100" i="20"/>
  <c r="J107" i="20" s="1"/>
  <c r="J20" i="19"/>
  <c r="J29" i="20"/>
  <c r="J31" i="19"/>
  <c r="J36" i="20"/>
  <c r="K80" i="23"/>
  <c r="I65" i="17"/>
  <c r="J72" i="19"/>
  <c r="I96" i="16" s="1"/>
  <c r="J71" i="19"/>
  <c r="I95" i="16" s="1"/>
  <c r="I77" i="17"/>
  <c r="W21" i="11"/>
  <c r="W21" i="14"/>
  <c r="W22" i="11"/>
  <c r="W20" i="11"/>
  <c r="W22" i="14"/>
  <c r="W20" i="14"/>
  <c r="W25" i="14"/>
  <c r="I68" i="17"/>
  <c r="J78" i="19"/>
  <c r="I102" i="16" s="1"/>
  <c r="J103" i="19"/>
  <c r="I22" i="17"/>
  <c r="I23" i="17"/>
  <c r="I25" i="17"/>
  <c r="I53" i="17"/>
  <c r="I35" i="16"/>
  <c r="K67" i="23"/>
  <c r="I54" i="17"/>
  <c r="I21" i="17"/>
  <c r="I47" i="17"/>
  <c r="I100" i="17"/>
  <c r="I40" i="16"/>
  <c r="I46" i="16"/>
  <c r="J97" i="19"/>
  <c r="K41" i="23"/>
  <c r="K48" i="23"/>
  <c r="K76" i="23"/>
  <c r="J70" i="19"/>
  <c r="K43" i="23"/>
  <c r="K50" i="23"/>
  <c r="K71" i="23"/>
  <c r="J96" i="19"/>
  <c r="J42" i="19"/>
  <c r="I64" i="16" s="1"/>
  <c r="I55" i="17"/>
  <c r="I72" i="16"/>
  <c r="K75" i="23"/>
  <c r="I91" i="17"/>
  <c r="K49" i="23"/>
  <c r="J76" i="19"/>
  <c r="I100" i="16" s="1"/>
  <c r="K57" i="23"/>
  <c r="I64" i="17"/>
  <c r="I79" i="17"/>
  <c r="I104" i="17"/>
  <c r="J99" i="19"/>
  <c r="K69" i="23"/>
  <c r="J77" i="19"/>
  <c r="I32" i="17"/>
  <c r="K58" i="23"/>
  <c r="K72" i="23"/>
  <c r="J44" i="19"/>
  <c r="J51" i="19"/>
  <c r="I75" i="16" s="1"/>
  <c r="J65" i="19"/>
  <c r="I89" i="16" s="1"/>
  <c r="J73" i="19"/>
  <c r="J79" i="19"/>
  <c r="J55" i="19"/>
  <c r="J67" i="19"/>
  <c r="J95" i="19"/>
  <c r="K39" i="23"/>
  <c r="I69" i="17"/>
  <c r="K91" i="23"/>
  <c r="I36" i="17"/>
  <c r="J52" i="19"/>
  <c r="I76" i="16" s="1"/>
  <c r="J68" i="19"/>
  <c r="K54" i="23"/>
  <c r="I49" i="16"/>
  <c r="I131" i="17"/>
  <c r="J107" i="19"/>
  <c r="I29" i="17"/>
  <c r="I29" i="16"/>
  <c r="I46" i="17"/>
  <c r="I67" i="17"/>
  <c r="K68" i="23"/>
  <c r="J80" i="19"/>
  <c r="I24" i="17"/>
  <c r="I24" i="16"/>
  <c r="I33" i="17"/>
  <c r="I56" i="17"/>
  <c r="I56" i="16"/>
  <c r="I76" i="17"/>
  <c r="I86" i="17"/>
  <c r="I101" i="17"/>
  <c r="K45" i="23"/>
  <c r="K53" i="23"/>
  <c r="K61" i="23"/>
  <c r="K73" i="23"/>
  <c r="J50" i="19"/>
  <c r="I74" i="17"/>
  <c r="J57" i="19"/>
  <c r="I81" i="16" s="1"/>
  <c r="I81" i="17"/>
  <c r="I122" i="17"/>
  <c r="J92" i="19"/>
  <c r="I45" i="17"/>
  <c r="J32" i="19"/>
  <c r="I98" i="17"/>
  <c r="J102" i="19"/>
  <c r="I97" i="17"/>
  <c r="J45" i="19"/>
  <c r="I68" i="16" s="1"/>
  <c r="I83" i="17"/>
  <c r="J59" i="19"/>
  <c r="I83" i="16" s="1"/>
  <c r="J66" i="19"/>
  <c r="I90" i="16" s="1"/>
  <c r="J61" i="19"/>
  <c r="I41" i="16"/>
  <c r="I41" i="17"/>
  <c r="I49" i="17"/>
  <c r="I57" i="16"/>
  <c r="I102" i="17"/>
  <c r="K40" i="23"/>
  <c r="K74" i="23"/>
  <c r="K92" i="23"/>
  <c r="I34" i="17"/>
  <c r="J22" i="19"/>
  <c r="J115" i="19"/>
  <c r="J46" i="19"/>
  <c r="I69" i="16" s="1"/>
  <c r="J91" i="19"/>
  <c r="K37" i="23"/>
  <c r="J58" i="19"/>
  <c r="I82" i="16" s="1"/>
  <c r="I82" i="17"/>
  <c r="I27" i="17"/>
  <c r="J17" i="19"/>
  <c r="I84" i="17"/>
  <c r="J60" i="19"/>
  <c r="I84" i="16" s="1"/>
  <c r="I44" i="17"/>
  <c r="I52" i="16"/>
  <c r="I52" i="17"/>
  <c r="I89" i="17"/>
  <c r="I103" i="17"/>
  <c r="I126" i="17"/>
  <c r="K44" i="23"/>
  <c r="K52" i="23"/>
  <c r="J116" i="19"/>
  <c r="I47" i="16"/>
  <c r="I70" i="17"/>
  <c r="J47" i="19"/>
  <c r="I70" i="16" s="1"/>
  <c r="I85" i="17"/>
  <c r="J84" i="19"/>
  <c r="J104" i="19"/>
  <c r="J64" i="19"/>
  <c r="J98" i="19"/>
  <c r="K42" i="23"/>
  <c r="I39" i="16"/>
  <c r="J90" i="19"/>
  <c r="J54" i="19"/>
  <c r="I48" i="16"/>
  <c r="I54" i="16"/>
  <c r="I53" i="16"/>
  <c r="J53" i="19"/>
  <c r="J81" i="19"/>
  <c r="I105" i="16" s="1"/>
  <c r="I37" i="17"/>
  <c r="K35" i="23"/>
  <c r="I65" i="16" s="1"/>
  <c r="I22" i="16"/>
  <c r="I23" i="16"/>
  <c r="I38" i="16"/>
  <c r="I25" i="16"/>
  <c r="K56" i="23"/>
  <c r="K47" i="23"/>
  <c r="I33" i="16"/>
  <c r="I92" i="17"/>
  <c r="I48" i="17"/>
  <c r="J94" i="19"/>
  <c r="J62" i="19"/>
  <c r="J75" i="19"/>
  <c r="I99" i="16" s="1"/>
  <c r="I90" i="17"/>
  <c r="I73" i="17"/>
  <c r="I78" i="17"/>
  <c r="J74" i="19"/>
  <c r="I99" i="17"/>
  <c r="I94" i="17"/>
  <c r="I75" i="17"/>
  <c r="I40" i="17"/>
  <c r="I39" i="17"/>
  <c r="I38" i="17"/>
  <c r="I35" i="17"/>
  <c r="J24" i="19"/>
  <c r="J25" i="19"/>
  <c r="I72" i="17"/>
  <c r="I57" i="17"/>
  <c r="I55" i="16"/>
  <c r="I21" i="16"/>
  <c r="M108" i="17" l="1"/>
  <c r="M110" i="17" s="1"/>
  <c r="M136" i="17" s="1"/>
  <c r="M146" i="17" s="1"/>
  <c r="M108" i="16"/>
  <c r="M110" i="16" s="1"/>
  <c r="M136" i="16" s="1"/>
  <c r="K108" i="16"/>
  <c r="K110" i="16" s="1"/>
  <c r="K136" i="16" s="1"/>
  <c r="K108" i="17"/>
  <c r="K110" i="17" s="1"/>
  <c r="K136" i="17" s="1"/>
  <c r="K146" i="17" s="1"/>
  <c r="I44" i="16"/>
  <c r="I32" i="16"/>
  <c r="J38" i="20"/>
  <c r="J82" i="20"/>
  <c r="I123" i="17"/>
  <c r="I127" i="17"/>
  <c r="I118" i="17"/>
  <c r="I114" i="17"/>
  <c r="I119" i="17"/>
  <c r="I108" i="17"/>
  <c r="I120" i="17"/>
  <c r="I115" i="17"/>
  <c r="I130" i="16"/>
  <c r="I96" i="17"/>
  <c r="I130" i="17"/>
  <c r="I121" i="17"/>
  <c r="I128" i="17"/>
  <c r="I116" i="17"/>
  <c r="I28" i="16"/>
  <c r="I28" i="17"/>
  <c r="I127" i="16"/>
  <c r="I77" i="16"/>
  <c r="I36" i="16"/>
  <c r="I45" i="16"/>
  <c r="I37" i="16"/>
  <c r="I34" i="16"/>
  <c r="I85" i="16"/>
  <c r="I92" i="16"/>
  <c r="I94" i="16"/>
  <c r="I119" i="16"/>
  <c r="I67" i="16"/>
  <c r="I97" i="16"/>
  <c r="I104" i="16"/>
  <c r="I98" i="16"/>
  <c r="I103" i="16"/>
  <c r="I79" i="16"/>
  <c r="I123" i="16"/>
  <c r="I91" i="16"/>
  <c r="I116" i="16"/>
  <c r="I95" i="17"/>
  <c r="I101" i="16"/>
  <c r="I86" i="16"/>
  <c r="I121" i="16"/>
  <c r="I120" i="16"/>
  <c r="I128" i="16"/>
  <c r="I88" i="16"/>
  <c r="I140" i="17"/>
  <c r="I139" i="17"/>
  <c r="I78" i="16"/>
  <c r="I115" i="16"/>
  <c r="I74" i="16"/>
  <c r="I114" i="16"/>
  <c r="I108" i="16"/>
  <c r="I122" i="16"/>
  <c r="I126" i="16"/>
  <c r="I118" i="16"/>
  <c r="J86" i="20" l="1"/>
  <c r="J110" i="20" s="1"/>
  <c r="J120" i="20" s="1"/>
  <c r="S31" i="11"/>
  <c r="W31" i="11" s="1"/>
  <c r="E14" i="44" l="1"/>
  <c r="E23" i="45"/>
  <c r="I23" i="45" l="1"/>
  <c r="I14" i="44"/>
  <c r="N19" i="2" l="1"/>
  <c r="N50" i="2"/>
  <c r="O130" i="17"/>
  <c r="N40" i="2"/>
  <c r="I81" i="23"/>
  <c r="I80" i="23"/>
  <c r="I79" i="23"/>
  <c r="S24" i="14"/>
  <c r="W24" i="14" s="1"/>
  <c r="I90" i="23"/>
  <c r="I55" i="23"/>
  <c r="I28" i="23"/>
  <c r="I25" i="23"/>
  <c r="I24" i="23"/>
  <c r="I23" i="23"/>
  <c r="I20" i="23"/>
  <c r="I19" i="23"/>
  <c r="I18" i="23"/>
  <c r="H106" i="19"/>
  <c r="AI74" i="21"/>
  <c r="G88" i="17"/>
  <c r="H59" i="19"/>
  <c r="H45" i="19"/>
  <c r="H35" i="19"/>
  <c r="H34" i="19"/>
  <c r="H33" i="19"/>
  <c r="H31" i="19"/>
  <c r="H28" i="19"/>
  <c r="H26" i="19"/>
  <c r="H24" i="19"/>
  <c r="H23" i="19"/>
  <c r="H22" i="19"/>
  <c r="H21" i="19"/>
  <c r="H20" i="19"/>
  <c r="G65" i="17"/>
  <c r="O130" i="16" l="1"/>
  <c r="H103" i="19"/>
  <c r="G95" i="17"/>
  <c r="I42" i="23"/>
  <c r="I49" i="23"/>
  <c r="I57" i="23"/>
  <c r="H65" i="19"/>
  <c r="G89" i="16" s="1"/>
  <c r="H79" i="19"/>
  <c r="I40" i="23"/>
  <c r="H80" i="19"/>
  <c r="I71" i="23"/>
  <c r="H66" i="19"/>
  <c r="G90" i="16" s="1"/>
  <c r="H98" i="19"/>
  <c r="I56" i="23"/>
  <c r="G67" i="17"/>
  <c r="G68" i="16"/>
  <c r="H54" i="19"/>
  <c r="H62" i="19"/>
  <c r="H70" i="19"/>
  <c r="I41" i="23"/>
  <c r="I48" i="23"/>
  <c r="H42" i="19"/>
  <c r="G64" i="16" s="1"/>
  <c r="I67" i="23"/>
  <c r="H95" i="19"/>
  <c r="G69" i="17"/>
  <c r="H61" i="19"/>
  <c r="H68" i="19"/>
  <c r="G68" i="17"/>
  <c r="G94" i="17"/>
  <c r="I37" i="23"/>
  <c r="H75" i="19"/>
  <c r="G99" i="16" s="1"/>
  <c r="I72" i="23"/>
  <c r="I53" i="23"/>
  <c r="I58" i="23"/>
  <c r="G27" i="17"/>
  <c r="I73" i="23"/>
  <c r="I50" i="23"/>
  <c r="H47" i="19"/>
  <c r="G70" i="16" s="1"/>
  <c r="H64" i="19"/>
  <c r="I47" i="23"/>
  <c r="I54" i="23"/>
  <c r="I35" i="23"/>
  <c r="G65" i="16" s="1"/>
  <c r="G79" i="17"/>
  <c r="G98" i="17"/>
  <c r="I69" i="23"/>
  <c r="G39" i="17"/>
  <c r="H99" i="19"/>
  <c r="I68" i="23"/>
  <c r="I75" i="23"/>
  <c r="G77" i="17"/>
  <c r="G102" i="17"/>
  <c r="G83" i="16"/>
  <c r="G130" i="17"/>
  <c r="G130" i="16"/>
  <c r="G35" i="16"/>
  <c r="G122" i="17"/>
  <c r="H50" i="19"/>
  <c r="I52" i="23"/>
  <c r="G25" i="17"/>
  <c r="G25" i="16"/>
  <c r="G34" i="17"/>
  <c r="G49" i="17"/>
  <c r="G70" i="17"/>
  <c r="G37" i="17"/>
  <c r="G46" i="16"/>
  <c r="H51" i="19"/>
  <c r="G75" i="16" s="1"/>
  <c r="H77" i="19"/>
  <c r="I39" i="23"/>
  <c r="I91" i="23"/>
  <c r="G56" i="17"/>
  <c r="G56" i="16"/>
  <c r="G57" i="16"/>
  <c r="G57" i="17"/>
  <c r="H46" i="19"/>
  <c r="G69" i="16" s="1"/>
  <c r="H53" i="19"/>
  <c r="H60" i="19"/>
  <c r="G84" i="16" s="1"/>
  <c r="G84" i="17"/>
  <c r="H81" i="19"/>
  <c r="G105" i="16" s="1"/>
  <c r="G105" i="17"/>
  <c r="H90" i="19"/>
  <c r="G36" i="17"/>
  <c r="G44" i="17"/>
  <c r="G52" i="16"/>
  <c r="G52" i="17"/>
  <c r="G64" i="17"/>
  <c r="G78" i="17"/>
  <c r="G97" i="17"/>
  <c r="G118" i="17"/>
  <c r="G126" i="17"/>
  <c r="G85" i="17"/>
  <c r="I82" i="23"/>
  <c r="H116" i="19"/>
  <c r="G24" i="16"/>
  <c r="G24" i="17"/>
  <c r="H102" i="19"/>
  <c r="G47" i="16"/>
  <c r="I74" i="23"/>
  <c r="I92" i="23"/>
  <c r="G33" i="17"/>
  <c r="H52" i="19"/>
  <c r="G76" i="16" s="1"/>
  <c r="G53" i="16"/>
  <c r="G53" i="17"/>
  <c r="G90" i="17"/>
  <c r="G119" i="17"/>
  <c r="G82" i="17"/>
  <c r="H58" i="19"/>
  <c r="G82" i="16" s="1"/>
  <c r="H92" i="19"/>
  <c r="G45" i="17"/>
  <c r="H32" i="19"/>
  <c r="G45" i="16" s="1"/>
  <c r="H96" i="19"/>
  <c r="H104" i="19"/>
  <c r="G128" i="16" s="1"/>
  <c r="G21" i="17"/>
  <c r="G21" i="16"/>
  <c r="H49" i="19"/>
  <c r="G73" i="16" s="1"/>
  <c r="G73" i="17"/>
  <c r="H107" i="19"/>
  <c r="G131" i="17"/>
  <c r="G116" i="17"/>
  <c r="G55" i="17"/>
  <c r="G28" i="16"/>
  <c r="G28" i="17"/>
  <c r="H97" i="19"/>
  <c r="H73" i="19"/>
  <c r="G22" i="17"/>
  <c r="G29" i="17"/>
  <c r="G29" i="16"/>
  <c r="G46" i="17"/>
  <c r="G54" i="16"/>
  <c r="G54" i="17"/>
  <c r="G128" i="17"/>
  <c r="G115" i="17"/>
  <c r="G76" i="17"/>
  <c r="H72" i="19"/>
  <c r="G96" i="16" s="1"/>
  <c r="G96" i="17"/>
  <c r="H78" i="19"/>
  <c r="G102" i="16" s="1"/>
  <c r="H91" i="19"/>
  <c r="H115" i="19"/>
  <c r="H94" i="19"/>
  <c r="G33" i="16"/>
  <c r="G23" i="17"/>
  <c r="G23" i="16"/>
  <c r="G47" i="17"/>
  <c r="G55" i="16"/>
  <c r="G75" i="17"/>
  <c r="G92" i="17"/>
  <c r="G121" i="17"/>
  <c r="I44" i="23"/>
  <c r="G35" i="17"/>
  <c r="G83" i="17"/>
  <c r="G89" i="17"/>
  <c r="G72" i="16"/>
  <c r="H67" i="19"/>
  <c r="G48" i="17"/>
  <c r="I43" i="23"/>
  <c r="G48" i="16"/>
  <c r="I76" i="23"/>
  <c r="I45" i="23"/>
  <c r="G36" i="16"/>
  <c r="G127" i="17"/>
  <c r="G103" i="17"/>
  <c r="H84" i="19"/>
  <c r="H76" i="19"/>
  <c r="G100" i="16" s="1"/>
  <c r="H55" i="19"/>
  <c r="H74" i="19"/>
  <c r="G108" i="17"/>
  <c r="G104" i="17"/>
  <c r="G91" i="17"/>
  <c r="H44" i="19"/>
  <c r="G44" i="16"/>
  <c r="H27" i="19"/>
  <c r="G39" i="16" s="1"/>
  <c r="H25" i="19"/>
  <c r="G38" i="17"/>
  <c r="H17" i="19"/>
  <c r="G40" i="17"/>
  <c r="G34" i="16"/>
  <c r="G120" i="17"/>
  <c r="G123" i="17"/>
  <c r="G114" i="17"/>
  <c r="G72" i="17"/>
  <c r="G99" i="17"/>
  <c r="G86" i="17"/>
  <c r="G100" i="17"/>
  <c r="G74" i="17"/>
  <c r="G101" i="17"/>
  <c r="G49" i="16"/>
  <c r="G41" i="17"/>
  <c r="G41" i="16"/>
  <c r="G38" i="16"/>
  <c r="G40" i="16"/>
  <c r="G22" i="16"/>
  <c r="H35" i="5"/>
  <c r="H18" i="5"/>
  <c r="G91" i="16" l="1"/>
  <c r="G78" i="16"/>
  <c r="H71" i="19"/>
  <c r="G95" i="16" s="1"/>
  <c r="G103" i="16"/>
  <c r="G140" i="17"/>
  <c r="G92" i="16"/>
  <c r="G104" i="16"/>
  <c r="G94" i="16"/>
  <c r="G139" i="17"/>
  <c r="G101" i="16"/>
  <c r="G126" i="16"/>
  <c r="G86" i="16"/>
  <c r="G122" i="16"/>
  <c r="G118" i="16"/>
  <c r="G85" i="16"/>
  <c r="G116" i="16"/>
  <c r="G88" i="16"/>
  <c r="G98" i="16"/>
  <c r="G119" i="16"/>
  <c r="G127" i="16"/>
  <c r="G67" i="16"/>
  <c r="G77" i="16"/>
  <c r="G120" i="16"/>
  <c r="G114" i="16"/>
  <c r="G97" i="16"/>
  <c r="G74" i="16"/>
  <c r="G115" i="16"/>
  <c r="G121" i="16"/>
  <c r="G131" i="16"/>
  <c r="G81" i="17"/>
  <c r="H57" i="19"/>
  <c r="G81" i="16" s="1"/>
  <c r="G79" i="16"/>
  <c r="G123" i="16"/>
  <c r="G37" i="16"/>
  <c r="F43" i="40" l="1"/>
  <c r="F35" i="40"/>
  <c r="F22" i="40"/>
  <c r="F16" i="40"/>
  <c r="F45" i="39"/>
  <c r="F38" i="39"/>
  <c r="F28" i="39"/>
  <c r="F22" i="39"/>
  <c r="F24" i="40" l="1"/>
  <c r="F46" i="40" s="1"/>
  <c r="F30" i="39"/>
  <c r="F48" i="39" s="1"/>
  <c r="E39" i="13" l="1"/>
  <c r="I39" i="12"/>
  <c r="E41" i="10"/>
  <c r="C39" i="13" l="1"/>
  <c r="I50" i="44" l="1"/>
  <c r="E50" i="44"/>
  <c r="N15" i="2" l="1"/>
  <c r="S24" i="11"/>
  <c r="W24" i="11" s="1"/>
  <c r="AD51" i="18"/>
  <c r="U39" i="14" l="1"/>
  <c r="I39" i="14"/>
  <c r="U41" i="11"/>
  <c r="I41" i="11"/>
  <c r="I32" i="11"/>
  <c r="I49" i="9"/>
  <c r="I41" i="9"/>
  <c r="I40" i="9"/>
  <c r="K82" i="23" l="1"/>
  <c r="U25" i="14"/>
  <c r="U22" i="11"/>
  <c r="U22" i="14"/>
  <c r="O68" i="17" l="1"/>
  <c r="O79" i="17"/>
  <c r="I131" i="16"/>
  <c r="I61" i="23"/>
  <c r="G90" i="23"/>
  <c r="G75" i="23"/>
  <c r="G71" i="23"/>
  <c r="G69" i="23"/>
  <c r="G55" i="23"/>
  <c r="G50" i="23"/>
  <c r="G28" i="23"/>
  <c r="G24" i="23"/>
  <c r="G25" i="23"/>
  <c r="G23" i="23"/>
  <c r="G19" i="23"/>
  <c r="G20" i="23"/>
  <c r="G18" i="23"/>
  <c r="G81" i="23"/>
  <c r="G80" i="23"/>
  <c r="G79" i="23"/>
  <c r="E130" i="17"/>
  <c r="F106" i="19"/>
  <c r="E131" i="17"/>
  <c r="E96" i="17"/>
  <c r="E105" i="17"/>
  <c r="E88" i="17"/>
  <c r="E82" i="17"/>
  <c r="F59" i="19"/>
  <c r="E84" i="17"/>
  <c r="F57" i="19"/>
  <c r="F49" i="19"/>
  <c r="F32" i="19"/>
  <c r="F33" i="19"/>
  <c r="F34" i="19"/>
  <c r="F35" i="19"/>
  <c r="F31" i="19"/>
  <c r="F22" i="19"/>
  <c r="E35" i="17"/>
  <c r="F24" i="19"/>
  <c r="F25" i="19"/>
  <c r="F26" i="19"/>
  <c r="F27" i="19"/>
  <c r="F28" i="19"/>
  <c r="F20" i="19"/>
  <c r="F17" i="19"/>
  <c r="E65" i="17"/>
  <c r="E29" i="17"/>
  <c r="E22" i="17"/>
  <c r="E24" i="17"/>
  <c r="E25" i="17"/>
  <c r="E21" i="17"/>
  <c r="F36" i="2" l="1"/>
  <c r="G108" i="16"/>
  <c r="G73" i="23"/>
  <c r="G68" i="23"/>
  <c r="G76" i="23"/>
  <c r="G74" i="23"/>
  <c r="G92" i="23"/>
  <c r="G72" i="23"/>
  <c r="E52" i="17"/>
  <c r="G42" i="23"/>
  <c r="F47" i="19"/>
  <c r="G58" i="23"/>
  <c r="E28" i="17"/>
  <c r="E121" i="17"/>
  <c r="F107" i="19"/>
  <c r="F53" i="19"/>
  <c r="E64" i="17"/>
  <c r="G82" i="23"/>
  <c r="G61" i="23"/>
  <c r="F50" i="19"/>
  <c r="G37" i="23"/>
  <c r="E69" i="17"/>
  <c r="G91" i="23"/>
  <c r="F84" i="19"/>
  <c r="G40" i="23"/>
  <c r="E79" i="17"/>
  <c r="F70" i="19"/>
  <c r="F90" i="19"/>
  <c r="F81" i="19"/>
  <c r="F92" i="19"/>
  <c r="G41" i="23"/>
  <c r="G53" i="23"/>
  <c r="G52" i="23"/>
  <c r="G47" i="23"/>
  <c r="E116" i="17"/>
  <c r="E67" i="17"/>
  <c r="F98" i="19"/>
  <c r="E56" i="17"/>
  <c r="E81" i="17"/>
  <c r="G44" i="23"/>
  <c r="E122" i="17"/>
  <c r="F23" i="19"/>
  <c r="G56" i="23"/>
  <c r="E78" i="17"/>
  <c r="E46" i="17"/>
  <c r="F60" i="19"/>
  <c r="F45" i="19"/>
  <c r="F65" i="19"/>
  <c r="E91" i="17"/>
  <c r="E54" i="17"/>
  <c r="E90" i="17"/>
  <c r="F72" i="19"/>
  <c r="E36" i="17"/>
  <c r="E139" i="17"/>
  <c r="F68" i="19"/>
  <c r="F116" i="19"/>
  <c r="F67" i="19"/>
  <c r="E97" i="17"/>
  <c r="F95" i="19"/>
  <c r="G43" i="23"/>
  <c r="G57" i="23"/>
  <c r="F52" i="19"/>
  <c r="F66" i="19"/>
  <c r="F62" i="19"/>
  <c r="E85" i="17"/>
  <c r="G54" i="23"/>
  <c r="E37" i="17"/>
  <c r="G45" i="23"/>
  <c r="E73" i="17"/>
  <c r="E55" i="17"/>
  <c r="E44" i="17"/>
  <c r="F61" i="19"/>
  <c r="F104" i="19"/>
  <c r="E34" i="17"/>
  <c r="F58" i="19"/>
  <c r="F54" i="19"/>
  <c r="F79" i="19"/>
  <c r="F75" i="19"/>
  <c r="F46" i="19"/>
  <c r="F74" i="19"/>
  <c r="F51" i="19"/>
  <c r="E95" i="17"/>
  <c r="E23" i="17"/>
  <c r="E83" i="17"/>
  <c r="E45" i="17"/>
  <c r="E94" i="17"/>
  <c r="F91" i="19"/>
  <c r="E41" i="17"/>
  <c r="E114" i="17"/>
  <c r="E70" i="17"/>
  <c r="F115" i="19"/>
  <c r="E27" i="17"/>
  <c r="E123" i="17"/>
  <c r="E128" i="17"/>
  <c r="E108" i="17"/>
  <c r="E57" i="17"/>
  <c r="G35" i="23"/>
  <c r="G48" i="23"/>
  <c r="E33" i="17"/>
  <c r="E49" i="17"/>
  <c r="E115" i="17"/>
  <c r="E76" i="17"/>
  <c r="F71" i="19"/>
  <c r="E120" i="17"/>
  <c r="G39" i="23"/>
  <c r="E53" i="17"/>
  <c r="E119" i="17"/>
  <c r="F73" i="19"/>
  <c r="F102" i="19"/>
  <c r="E89" i="17"/>
  <c r="F55" i="19"/>
  <c r="E32" i="17"/>
  <c r="F44" i="19"/>
  <c r="F99" i="19"/>
  <c r="E47" i="17"/>
  <c r="F103" i="19"/>
  <c r="E68" i="17"/>
  <c r="F97" i="19"/>
  <c r="G67" i="23"/>
  <c r="E140" i="17"/>
  <c r="E126" i="17"/>
  <c r="E118" i="17"/>
  <c r="F42" i="19"/>
  <c r="G49" i="23"/>
  <c r="E92" i="17"/>
  <c r="E86" i="17"/>
  <c r="E72" i="17"/>
  <c r="E48" i="17"/>
  <c r="F77" i="19"/>
  <c r="F76" i="19"/>
  <c r="F78" i="19"/>
  <c r="F80" i="19"/>
  <c r="E127" i="17"/>
  <c r="F96" i="19"/>
  <c r="F94" i="19"/>
  <c r="E101" i="17"/>
  <c r="E102" i="17"/>
  <c r="E98" i="17"/>
  <c r="E104" i="17"/>
  <c r="E100" i="17"/>
  <c r="E103" i="17"/>
  <c r="E99" i="17"/>
  <c r="F64" i="19"/>
  <c r="E74" i="17"/>
  <c r="E77" i="17"/>
  <c r="E75" i="17"/>
  <c r="E40" i="17"/>
  <c r="E39" i="17"/>
  <c r="F21" i="19"/>
  <c r="E38" i="17"/>
  <c r="F18" i="15" l="1"/>
  <c r="O126" i="16"/>
  <c r="O126" i="17"/>
  <c r="E131" i="16"/>
  <c r="E130" i="16"/>
  <c r="E128" i="16"/>
  <c r="E127" i="16"/>
  <c r="E126" i="16"/>
  <c r="E123" i="16"/>
  <c r="E122" i="16"/>
  <c r="E121" i="16"/>
  <c r="E120" i="16"/>
  <c r="E119" i="16"/>
  <c r="E118" i="16"/>
  <c r="E116" i="16"/>
  <c r="E115" i="16"/>
  <c r="E114" i="16"/>
  <c r="E108" i="16"/>
  <c r="E105" i="16"/>
  <c r="E104" i="16"/>
  <c r="E103" i="16"/>
  <c r="E102" i="16"/>
  <c r="E101" i="16"/>
  <c r="E100" i="16"/>
  <c r="E99" i="16"/>
  <c r="E98" i="16"/>
  <c r="E97" i="16"/>
  <c r="E96" i="16"/>
  <c r="E95" i="16"/>
  <c r="E94" i="16"/>
  <c r="E92" i="16"/>
  <c r="E91" i="16"/>
  <c r="E90" i="16"/>
  <c r="E89" i="16"/>
  <c r="E88" i="16"/>
  <c r="E86" i="16"/>
  <c r="E85" i="16"/>
  <c r="E84" i="16"/>
  <c r="E83" i="16"/>
  <c r="E82" i="16"/>
  <c r="E81" i="16"/>
  <c r="E79" i="16"/>
  <c r="E78" i="16"/>
  <c r="E77" i="16"/>
  <c r="E76" i="16"/>
  <c r="E75" i="16"/>
  <c r="E74" i="16"/>
  <c r="E73" i="16"/>
  <c r="E72" i="16"/>
  <c r="E70" i="16"/>
  <c r="E69" i="16"/>
  <c r="E68" i="16"/>
  <c r="E67" i="16"/>
  <c r="E65" i="16"/>
  <c r="E64" i="16"/>
  <c r="E57" i="16"/>
  <c r="E56" i="16"/>
  <c r="E55" i="16"/>
  <c r="E54" i="16"/>
  <c r="E53" i="16"/>
  <c r="E52" i="16"/>
  <c r="E49" i="16"/>
  <c r="E48" i="16"/>
  <c r="E47" i="16"/>
  <c r="E46" i="16"/>
  <c r="E45" i="16"/>
  <c r="E44" i="16"/>
  <c r="E41" i="16"/>
  <c r="E40" i="16"/>
  <c r="E39" i="16"/>
  <c r="E38" i="16"/>
  <c r="E37" i="16"/>
  <c r="E36" i="16"/>
  <c r="E35" i="16"/>
  <c r="E34" i="16"/>
  <c r="E33" i="16"/>
  <c r="E32" i="16"/>
  <c r="E29" i="16"/>
  <c r="E28" i="16"/>
  <c r="E25" i="16"/>
  <c r="E24" i="16"/>
  <c r="E23" i="16"/>
  <c r="E22" i="16"/>
  <c r="E21" i="16"/>
  <c r="O23" i="16" l="1"/>
  <c r="O23" i="17"/>
  <c r="U31" i="11"/>
  <c r="U24" i="11" l="1"/>
  <c r="I14" i="45" l="1"/>
  <c r="E18" i="23" l="1"/>
  <c r="Z23" i="18"/>
  <c r="F23" i="18"/>
  <c r="H23" i="18"/>
  <c r="J23" i="18"/>
  <c r="L23" i="18"/>
  <c r="AI91" i="20" l="1"/>
  <c r="AK91" i="20" s="1"/>
  <c r="AI94" i="20"/>
  <c r="AK94" i="20" s="1"/>
  <c r="O34" i="40" l="1"/>
  <c r="O43" i="40" l="1"/>
  <c r="Z34" i="43" l="1"/>
  <c r="H26" i="45" l="1"/>
  <c r="G26" i="45"/>
  <c r="G30" i="45" s="1"/>
  <c r="H30" i="45" l="1"/>
  <c r="E11" i="45" l="1"/>
  <c r="I11" i="45"/>
  <c r="E12" i="45"/>
  <c r="I12" i="45"/>
  <c r="E13" i="45"/>
  <c r="I13" i="45"/>
  <c r="E14" i="45"/>
  <c r="E15" i="45"/>
  <c r="I15" i="45"/>
  <c r="E16" i="45"/>
  <c r="I16" i="45"/>
  <c r="E17" i="45"/>
  <c r="I17" i="45"/>
  <c r="E18" i="45"/>
  <c r="E19" i="45"/>
  <c r="I19" i="45"/>
  <c r="E20" i="45"/>
  <c r="I20" i="45"/>
  <c r="E21" i="45"/>
  <c r="I21" i="45"/>
  <c r="E22" i="45"/>
  <c r="I22" i="45"/>
  <c r="E24" i="45"/>
  <c r="I24" i="45"/>
  <c r="E25" i="45"/>
  <c r="I25" i="45"/>
  <c r="D26" i="45"/>
  <c r="D30" i="45" l="1"/>
  <c r="O100" i="17"/>
  <c r="O52" i="16"/>
  <c r="AI45" i="20"/>
  <c r="AK45" i="20" s="1"/>
  <c r="O48" i="16"/>
  <c r="AI31" i="20"/>
  <c r="AK31" i="20" s="1"/>
  <c r="O98" i="17"/>
  <c r="O21" i="17"/>
  <c r="O65" i="17"/>
  <c r="O76" i="17"/>
  <c r="O103" i="17"/>
  <c r="O68" i="16"/>
  <c r="O81" i="17"/>
  <c r="O102" i="17"/>
  <c r="O73" i="17"/>
  <c r="O84" i="16"/>
  <c r="O99" i="17"/>
  <c r="O120" i="17"/>
  <c r="O24" i="16"/>
  <c r="O88" i="17"/>
  <c r="O69" i="17"/>
  <c r="O94" i="17"/>
  <c r="O101" i="17"/>
  <c r="O69" i="16"/>
  <c r="O100" i="16"/>
  <c r="O24" i="17"/>
  <c r="O52" i="17"/>
  <c r="O37" i="17"/>
  <c r="O21" i="16"/>
  <c r="O48" i="17"/>
  <c r="O82" i="16"/>
  <c r="O82" i="17"/>
  <c r="O25" i="16"/>
  <c r="O25" i="17"/>
  <c r="I18" i="45"/>
  <c r="E26" i="45"/>
  <c r="O65" i="16" l="1"/>
  <c r="O91" i="16"/>
  <c r="O83" i="17"/>
  <c r="O81" i="16"/>
  <c r="O88" i="16"/>
  <c r="O47" i="17"/>
  <c r="O77" i="17"/>
  <c r="O47" i="16"/>
  <c r="O40" i="17"/>
  <c r="O103" i="16"/>
  <c r="O74" i="17"/>
  <c r="O40" i="16"/>
  <c r="O78" i="16"/>
  <c r="O89" i="16"/>
  <c r="O105" i="16"/>
  <c r="O37" i="16"/>
  <c r="O70" i="16"/>
  <c r="O90" i="16"/>
  <c r="O70" i="17"/>
  <c r="O39" i="16"/>
  <c r="O55" i="16"/>
  <c r="O115" i="16"/>
  <c r="Q29" i="23"/>
  <c r="P23" i="18"/>
  <c r="O114" i="17"/>
  <c r="O123" i="16"/>
  <c r="O123" i="17"/>
  <c r="O29" i="16"/>
  <c r="O96" i="16"/>
  <c r="O96" i="17"/>
  <c r="O116" i="17"/>
  <c r="O140" i="17"/>
  <c r="O76" i="16"/>
  <c r="O102" i="16"/>
  <c r="O128" i="16"/>
  <c r="O90" i="17"/>
  <c r="Q21" i="23"/>
  <c r="O119" i="17"/>
  <c r="O105" i="17"/>
  <c r="O131" i="17"/>
  <c r="O38" i="16"/>
  <c r="O38" i="17"/>
  <c r="O92" i="17"/>
  <c r="O108" i="16"/>
  <c r="O73" i="16"/>
  <c r="O32" i="17"/>
  <c r="O28" i="16"/>
  <c r="O28" i="17"/>
  <c r="O118" i="17"/>
  <c r="O79" i="16"/>
  <c r="O99" i="16"/>
  <c r="O54" i="17"/>
  <c r="O54" i="16"/>
  <c r="O33" i="17"/>
  <c r="O33" i="16"/>
  <c r="P116" i="20"/>
  <c r="O97" i="16"/>
  <c r="O64" i="16"/>
  <c r="O64" i="17"/>
  <c r="O57" i="16"/>
  <c r="O57" i="17"/>
  <c r="O86" i="17"/>
  <c r="O127" i="17"/>
  <c r="O122" i="17"/>
  <c r="P100" i="20"/>
  <c r="P107" i="20" s="1"/>
  <c r="O83" i="16"/>
  <c r="O91" i="17"/>
  <c r="O49" i="16"/>
  <c r="O49" i="17"/>
  <c r="O86" i="16"/>
  <c r="O98" i="16"/>
  <c r="O36" i="16"/>
  <c r="O36" i="17"/>
  <c r="O139" i="17"/>
  <c r="O115" i="17"/>
  <c r="O27" i="17"/>
  <c r="O34" i="17"/>
  <c r="O39" i="17"/>
  <c r="O55" i="17"/>
  <c r="P36" i="20"/>
  <c r="O78" i="17"/>
  <c r="O45" i="17"/>
  <c r="O45" i="16"/>
  <c r="O108" i="17"/>
  <c r="O104" i="17"/>
  <c r="O97" i="17"/>
  <c r="O22" i="16"/>
  <c r="O26" i="16" s="1"/>
  <c r="O22" i="17"/>
  <c r="O26" i="17" s="1"/>
  <c r="O56" i="17"/>
  <c r="O56" i="16"/>
  <c r="O44" i="17"/>
  <c r="O44" i="16"/>
  <c r="O46" i="17"/>
  <c r="O75" i="17"/>
  <c r="O67" i="17"/>
  <c r="O67" i="16"/>
  <c r="O75" i="16"/>
  <c r="Q26" i="23"/>
  <c r="O34" i="16"/>
  <c r="P82" i="20"/>
  <c r="O85" i="16"/>
  <c r="O85" i="17"/>
  <c r="O89" i="17"/>
  <c r="O29" i="17"/>
  <c r="O121" i="16"/>
  <c r="O128" i="17"/>
  <c r="O84" i="17"/>
  <c r="O101" i="16"/>
  <c r="P29" i="20"/>
  <c r="O72" i="16"/>
  <c r="O72" i="17"/>
  <c r="O95" i="16"/>
  <c r="O95" i="17"/>
  <c r="O121" i="17"/>
  <c r="E30" i="45"/>
  <c r="I26" i="45"/>
  <c r="G24" i="11"/>
  <c r="O77" i="16" l="1"/>
  <c r="O116" i="16"/>
  <c r="O92" i="16"/>
  <c r="O119" i="16"/>
  <c r="O104" i="16"/>
  <c r="O74" i="16"/>
  <c r="O114" i="16"/>
  <c r="O50" i="17"/>
  <c r="Q59" i="23"/>
  <c r="O58" i="17"/>
  <c r="O106" i="17"/>
  <c r="O42" i="17"/>
  <c r="O30" i="17"/>
  <c r="O58" i="16"/>
  <c r="O30" i="16"/>
  <c r="P100" i="19"/>
  <c r="P109" i="19" s="1"/>
  <c r="O118" i="16"/>
  <c r="O124" i="17"/>
  <c r="O133" i="17" s="1"/>
  <c r="Q31" i="23"/>
  <c r="O94" i="16"/>
  <c r="O120" i="16"/>
  <c r="O122" i="16"/>
  <c r="P82" i="19"/>
  <c r="P29" i="19"/>
  <c r="O32" i="16"/>
  <c r="O42" i="16" s="1"/>
  <c r="P36" i="19"/>
  <c r="O46" i="16"/>
  <c r="O50" i="16" s="1"/>
  <c r="O131" i="16"/>
  <c r="P38" i="20"/>
  <c r="P86" i="20" s="1"/>
  <c r="P110" i="20" s="1"/>
  <c r="P120" i="20" s="1"/>
  <c r="O127" i="16"/>
  <c r="I30" i="45"/>
  <c r="I24" i="11"/>
  <c r="K24" i="11"/>
  <c r="O106" i="16" l="1"/>
  <c r="O60" i="17"/>
  <c r="O110" i="17" s="1"/>
  <c r="O136" i="17" s="1"/>
  <c r="O124" i="16"/>
  <c r="O133" i="16" s="1"/>
  <c r="O60" i="16"/>
  <c r="P38" i="19"/>
  <c r="P86" i="19" s="1"/>
  <c r="P112" i="19" s="1"/>
  <c r="O110" i="16" l="1"/>
  <c r="O136" i="16" s="1"/>
  <c r="Q35" i="11" l="1"/>
  <c r="Z30" i="43" l="1"/>
  <c r="Z29" i="43"/>
  <c r="O12" i="39" l="1"/>
  <c r="Z20" i="43" l="1"/>
  <c r="A43" i="13" l="1"/>
  <c r="A43" i="12"/>
  <c r="A45" i="11"/>
  <c r="A43" i="14"/>
  <c r="I51" i="44" l="1"/>
  <c r="I48" i="44"/>
  <c r="I47"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E51" i="44"/>
  <c r="E48" i="44"/>
  <c r="E47" i="44"/>
  <c r="E42" i="44"/>
  <c r="E41" i="44"/>
  <c r="E40" i="44"/>
  <c r="E39" i="44"/>
  <c r="E38" i="44"/>
  <c r="E37" i="44"/>
  <c r="E36" i="44"/>
  <c r="E35" i="44"/>
  <c r="E34" i="44"/>
  <c r="E33" i="44"/>
  <c r="E32" i="44"/>
  <c r="E31" i="44"/>
  <c r="E30" i="44"/>
  <c r="E29" i="44"/>
  <c r="E28" i="44"/>
  <c r="E27" i="44"/>
  <c r="E26" i="44"/>
  <c r="E25" i="44"/>
  <c r="E24" i="44"/>
  <c r="E23" i="44"/>
  <c r="E22" i="44"/>
  <c r="E21" i="44"/>
  <c r="E18" i="44"/>
  <c r="E17" i="44"/>
  <c r="E16" i="44"/>
  <c r="E15" i="44"/>
  <c r="E13" i="44"/>
  <c r="E12" i="44"/>
  <c r="E11" i="44"/>
  <c r="K20" i="41"/>
  <c r="K24" i="41" s="1"/>
  <c r="J29" i="36"/>
  <c r="H29" i="36"/>
  <c r="H21" i="36"/>
  <c r="J21" i="36" s="1"/>
  <c r="E52" i="44" l="1"/>
  <c r="E56" i="44" s="1"/>
  <c r="D52" i="44"/>
  <c r="D56" i="44" s="1"/>
  <c r="D43" i="40"/>
  <c r="D35" i="40"/>
  <c r="D22" i="40"/>
  <c r="D16" i="40"/>
  <c r="D45" i="39"/>
  <c r="D38" i="39"/>
  <c r="D28" i="39"/>
  <c r="D22" i="39"/>
  <c r="D30" i="39" l="1"/>
  <c r="D48" i="39" s="1"/>
  <c r="D50" i="39" s="1"/>
  <c r="F12" i="39" s="1"/>
  <c r="F50" i="39" s="1"/>
  <c r="H12" i="39" s="1"/>
  <c r="H50" i="39" s="1"/>
  <c r="J12" i="39" s="1"/>
  <c r="J50" i="39" s="1"/>
  <c r="L12" i="39" s="1"/>
  <c r="L50" i="39" s="1"/>
  <c r="D24" i="40"/>
  <c r="D46" i="40" s="1"/>
  <c r="D48" i="40" s="1"/>
  <c r="F12" i="40" s="1"/>
  <c r="F48" i="40" s="1"/>
  <c r="H12" i="40" s="1"/>
  <c r="H48" i="40" s="1"/>
  <c r="J12" i="40" s="1"/>
  <c r="J48" i="40" s="1"/>
  <c r="L12" i="40" s="1"/>
  <c r="L48" i="40" s="1"/>
  <c r="Y21" i="26" l="1"/>
  <c r="W21" i="26"/>
  <c r="U21" i="26"/>
  <c r="O21" i="26"/>
  <c r="M21" i="26"/>
  <c r="K21" i="26"/>
  <c r="M29" i="24"/>
  <c r="O29" i="24"/>
  <c r="Q29" i="24"/>
  <c r="AA29" i="24"/>
  <c r="X19" i="29" l="1"/>
  <c r="N19" i="29"/>
  <c r="L19" i="29"/>
  <c r="J19" i="29"/>
  <c r="X19" i="28"/>
  <c r="N19" i="28"/>
  <c r="L19" i="28"/>
  <c r="J19" i="28"/>
  <c r="K42" i="26"/>
  <c r="X24" i="22"/>
  <c r="X21" i="22"/>
  <c r="V24" i="22"/>
  <c r="L16" i="2" s="1"/>
  <c r="V21" i="22"/>
  <c r="L15" i="2" s="1"/>
  <c r="T24" i="22"/>
  <c r="T21" i="22"/>
  <c r="R24" i="22"/>
  <c r="R21" i="22"/>
  <c r="P21" i="22"/>
  <c r="N24" i="22"/>
  <c r="N21" i="22"/>
  <c r="L24" i="22"/>
  <c r="L21" i="22"/>
  <c r="J24" i="22"/>
  <c r="J21" i="22"/>
  <c r="X19" i="27"/>
  <c r="V19" i="27"/>
  <c r="T19" i="27"/>
  <c r="R19" i="27"/>
  <c r="P19" i="27"/>
  <c r="N19" i="27"/>
  <c r="L19" i="27"/>
  <c r="J19" i="27"/>
  <c r="H19" i="27"/>
  <c r="G32" i="12" l="1"/>
  <c r="G26" i="12"/>
  <c r="G25" i="12"/>
  <c r="G32" i="14"/>
  <c r="G30" i="12"/>
  <c r="G31" i="12"/>
  <c r="J88" i="21"/>
  <c r="H33" i="37"/>
  <c r="H42" i="37"/>
  <c r="I21" i="26"/>
  <c r="J29" i="19"/>
  <c r="H21" i="22"/>
  <c r="I31" i="26"/>
  <c r="I42" i="26"/>
  <c r="K29" i="24"/>
  <c r="H19" i="28"/>
  <c r="H24" i="22"/>
  <c r="H19" i="29"/>
  <c r="D25" i="37"/>
  <c r="F25" i="37"/>
  <c r="Z118" i="19"/>
  <c r="H39" i="28"/>
  <c r="L88" i="21"/>
  <c r="N88" i="21"/>
  <c r="Z88" i="21"/>
  <c r="X39" i="28"/>
  <c r="Y42" i="26"/>
  <c r="M26" i="24"/>
  <c r="P88" i="21"/>
  <c r="J39" i="29"/>
  <c r="N28" i="29"/>
  <c r="N32" i="29" s="1"/>
  <c r="L39" i="28"/>
  <c r="J28" i="28"/>
  <c r="J32" i="28" s="1"/>
  <c r="N28" i="28"/>
  <c r="N32" i="28" s="1"/>
  <c r="O42" i="26"/>
  <c r="AA75" i="25"/>
  <c r="Z29" i="19"/>
  <c r="O59" i="25"/>
  <c r="O66" i="25" s="1"/>
  <c r="L33" i="37"/>
  <c r="X25" i="37"/>
  <c r="M31" i="26"/>
  <c r="M42" i="26"/>
  <c r="L28" i="29"/>
  <c r="L32" i="29" s="1"/>
  <c r="V63" i="22"/>
  <c r="J36" i="19"/>
  <c r="O21" i="24"/>
  <c r="J70" i="21"/>
  <c r="L70" i="21"/>
  <c r="L79" i="21" s="1"/>
  <c r="N70" i="21"/>
  <c r="N79" i="21" s="1"/>
  <c r="Z36" i="19"/>
  <c r="P118" i="19"/>
  <c r="X28" i="22"/>
  <c r="Q94" i="24"/>
  <c r="L39" i="29"/>
  <c r="L72" i="22"/>
  <c r="P72" i="22"/>
  <c r="T72" i="22"/>
  <c r="X72" i="22"/>
  <c r="K75" i="25"/>
  <c r="O41" i="25"/>
  <c r="O45" i="25" s="1"/>
  <c r="Q41" i="25"/>
  <c r="Q45" i="25" s="1"/>
  <c r="O31" i="26"/>
  <c r="H28" i="28"/>
  <c r="N39" i="28"/>
  <c r="T28" i="28"/>
  <c r="V28" i="28"/>
  <c r="H39" i="29"/>
  <c r="X28" i="29"/>
  <c r="X32" i="29" s="1"/>
  <c r="N25" i="37"/>
  <c r="N33" i="37"/>
  <c r="X33" i="37"/>
  <c r="K41" i="25"/>
  <c r="K45" i="25" s="1"/>
  <c r="Q75" i="25"/>
  <c r="Y31" i="26"/>
  <c r="J39" i="28"/>
  <c r="X39" i="29"/>
  <c r="L42" i="37"/>
  <c r="L52" i="21"/>
  <c r="L56" i="21" s="1"/>
  <c r="P70" i="21"/>
  <c r="P79" i="21" s="1"/>
  <c r="K59" i="25"/>
  <c r="K66" i="25" s="1"/>
  <c r="AA41" i="25"/>
  <c r="AA45" i="25" s="1"/>
  <c r="N52" i="21"/>
  <c r="N56" i="21" s="1"/>
  <c r="AA59" i="25"/>
  <c r="AA66" i="25" s="1"/>
  <c r="K31" i="26"/>
  <c r="J28" i="29"/>
  <c r="J32" i="29" s="1"/>
  <c r="X42" i="37"/>
  <c r="Q59" i="25"/>
  <c r="Q66" i="25" s="1"/>
  <c r="L28" i="28"/>
  <c r="L32" i="28" s="1"/>
  <c r="Z52" i="21"/>
  <c r="Z56" i="21" s="1"/>
  <c r="O75" i="25"/>
  <c r="X28" i="28"/>
  <c r="X32" i="28" s="1"/>
  <c r="H28" i="29"/>
  <c r="N39" i="29"/>
  <c r="N42" i="37"/>
  <c r="L25" i="37"/>
  <c r="P52" i="21"/>
  <c r="P56" i="21" s="1"/>
  <c r="Z70" i="21"/>
  <c r="Z79" i="21" s="1"/>
  <c r="J52" i="21"/>
  <c r="J56" i="21" s="1"/>
  <c r="J72" i="22"/>
  <c r="N72" i="22"/>
  <c r="V72" i="22"/>
  <c r="M59" i="24"/>
  <c r="H28" i="22"/>
  <c r="J28" i="22"/>
  <c r="N28" i="22"/>
  <c r="K26" i="24"/>
  <c r="V28" i="22"/>
  <c r="L17" i="2" s="1"/>
  <c r="AA26" i="24"/>
  <c r="Q26" i="24"/>
  <c r="AA21" i="24"/>
  <c r="M77" i="24"/>
  <c r="M84" i="24" s="1"/>
  <c r="AA94" i="24"/>
  <c r="K77" i="24"/>
  <c r="K84" i="24" s="1"/>
  <c r="O94" i="24"/>
  <c r="Q77" i="24"/>
  <c r="Q84" i="24" s="1"/>
  <c r="M21" i="24"/>
  <c r="AA77" i="24"/>
  <c r="AA84" i="24" s="1"/>
  <c r="K59" i="24"/>
  <c r="Q59" i="24"/>
  <c r="K21" i="24"/>
  <c r="M94" i="24"/>
  <c r="O26" i="24"/>
  <c r="O77" i="24"/>
  <c r="O84" i="24" s="1"/>
  <c r="Q21" i="24"/>
  <c r="AA59" i="24"/>
  <c r="J51" i="22"/>
  <c r="R72" i="22"/>
  <c r="X63" i="22"/>
  <c r="T63" i="22"/>
  <c r="J63" i="22"/>
  <c r="L28" i="22"/>
  <c r="H51" i="22"/>
  <c r="N51" i="22"/>
  <c r="X51" i="22"/>
  <c r="L63" i="22"/>
  <c r="N63" i="22"/>
  <c r="L51" i="22"/>
  <c r="P63" i="22"/>
  <c r="R63" i="22"/>
  <c r="J46" i="18"/>
  <c r="L46" i="18"/>
  <c r="J97" i="18"/>
  <c r="L97" i="18"/>
  <c r="P97" i="18"/>
  <c r="Z97" i="18"/>
  <c r="J115" i="18"/>
  <c r="P115" i="18"/>
  <c r="P121" i="18" s="1"/>
  <c r="Z115" i="18"/>
  <c r="Z121" i="18" s="1"/>
  <c r="P54" i="18"/>
  <c r="J27" i="18"/>
  <c r="J38" i="18"/>
  <c r="L27" i="18"/>
  <c r="L38" i="18"/>
  <c r="P27" i="18"/>
  <c r="P38" i="18"/>
  <c r="Z27" i="18"/>
  <c r="Z38" i="18"/>
  <c r="J54" i="18"/>
  <c r="L54" i="18"/>
  <c r="L115" i="18"/>
  <c r="L121" i="18" s="1"/>
  <c r="P46" i="18"/>
  <c r="Z46" i="18"/>
  <c r="Z54" i="18"/>
  <c r="X28" i="27"/>
  <c r="X32" i="27" s="1"/>
  <c r="N28" i="27"/>
  <c r="N32" i="27" s="1"/>
  <c r="L28" i="27"/>
  <c r="L32" i="27" s="1"/>
  <c r="T28" i="27"/>
  <c r="T32" i="27" s="1"/>
  <c r="V28" i="27"/>
  <c r="V32" i="27" s="1"/>
  <c r="J28" i="27"/>
  <c r="J32" i="27" s="1"/>
  <c r="H28" i="27"/>
  <c r="H32" i="27" s="1"/>
  <c r="D33" i="37"/>
  <c r="F33" i="37"/>
  <c r="S31" i="14" l="1"/>
  <c r="I31" i="12"/>
  <c r="K31" i="12"/>
  <c r="I30" i="12"/>
  <c r="K30" i="12"/>
  <c r="I32" i="14"/>
  <c r="K32" i="14"/>
  <c r="I25" i="12"/>
  <c r="K25" i="12"/>
  <c r="I26" i="12"/>
  <c r="K26" i="12"/>
  <c r="I32" i="12"/>
  <c r="K32" i="12"/>
  <c r="K69" i="25"/>
  <c r="K79" i="25" s="1"/>
  <c r="X44" i="37"/>
  <c r="X44" i="29"/>
  <c r="X30" i="22"/>
  <c r="X55" i="22" s="1"/>
  <c r="X66" i="22" s="1"/>
  <c r="X76" i="22" s="1"/>
  <c r="V30" i="22"/>
  <c r="N44" i="29"/>
  <c r="N30" i="22"/>
  <c r="N55" i="22" s="1"/>
  <c r="N66" i="22" s="1"/>
  <c r="N76" i="22" s="1"/>
  <c r="N44" i="37"/>
  <c r="L30" i="22"/>
  <c r="L55" i="22" s="1"/>
  <c r="L66" i="22" s="1"/>
  <c r="L76" i="22" s="1"/>
  <c r="L44" i="37"/>
  <c r="L44" i="29"/>
  <c r="J44" i="29"/>
  <c r="J30" i="22"/>
  <c r="J55" i="22" s="1"/>
  <c r="J66" i="22" s="1"/>
  <c r="J76" i="22" s="1"/>
  <c r="H63" i="22"/>
  <c r="K94" i="24"/>
  <c r="H72" i="22"/>
  <c r="H44" i="37"/>
  <c r="J121" i="18"/>
  <c r="H32" i="29"/>
  <c r="H44" i="29" s="1"/>
  <c r="J79" i="21"/>
  <c r="J82" i="21" s="1"/>
  <c r="J92" i="21" s="1"/>
  <c r="H32" i="28"/>
  <c r="H44" i="28" s="1"/>
  <c r="I35" i="26"/>
  <c r="I47" i="26" s="1"/>
  <c r="H25" i="37"/>
  <c r="H30" i="22"/>
  <c r="H55" i="22" s="1"/>
  <c r="N82" i="21"/>
  <c r="N92" i="21" s="1"/>
  <c r="X44" i="28"/>
  <c r="Z82" i="21"/>
  <c r="Z92" i="21" s="1"/>
  <c r="P82" i="21"/>
  <c r="P92" i="21" s="1"/>
  <c r="L44" i="28"/>
  <c r="M31" i="24"/>
  <c r="M63" i="24" s="1"/>
  <c r="M87" i="24" s="1"/>
  <c r="M98" i="24" s="1"/>
  <c r="Q31" i="24"/>
  <c r="Q63" i="24" s="1"/>
  <c r="Q87" i="24" s="1"/>
  <c r="Q98" i="24" s="1"/>
  <c r="O31" i="24"/>
  <c r="L82" i="21"/>
  <c r="L92" i="21" s="1"/>
  <c r="N44" i="28"/>
  <c r="K31" i="24"/>
  <c r="K63" i="24" s="1"/>
  <c r="K87" i="24" s="1"/>
  <c r="K35" i="26"/>
  <c r="K47" i="26" s="1"/>
  <c r="J44" i="28"/>
  <c r="Y35" i="26"/>
  <c r="Y47" i="26" s="1"/>
  <c r="M35" i="26"/>
  <c r="M47" i="26" s="1"/>
  <c r="Q69" i="25"/>
  <c r="Q79" i="25" s="1"/>
  <c r="O69" i="25"/>
  <c r="O79" i="25" s="1"/>
  <c r="Z100" i="19"/>
  <c r="Z109" i="19" s="1"/>
  <c r="Z38" i="19"/>
  <c r="J38" i="19"/>
  <c r="J100" i="19"/>
  <c r="O35" i="26"/>
  <c r="O47" i="26" s="1"/>
  <c r="AA31" i="24"/>
  <c r="AA63" i="24" s="1"/>
  <c r="AA87" i="24" s="1"/>
  <c r="AA98" i="24" s="1"/>
  <c r="Z82" i="19"/>
  <c r="AA69" i="25"/>
  <c r="AA79" i="25" s="1"/>
  <c r="P56" i="18"/>
  <c r="P101" i="18" s="1"/>
  <c r="P124" i="18" s="1"/>
  <c r="J56" i="18"/>
  <c r="J101" i="18" s="1"/>
  <c r="L56" i="18"/>
  <c r="L101" i="18" s="1"/>
  <c r="L124" i="18" s="1"/>
  <c r="Z56" i="18"/>
  <c r="Z101" i="18" s="1"/>
  <c r="Z124" i="18" s="1"/>
  <c r="F19" i="29"/>
  <c r="D19" i="29"/>
  <c r="AD19" i="28"/>
  <c r="F19" i="28"/>
  <c r="D19" i="28"/>
  <c r="AD19" i="27"/>
  <c r="AA19" i="27"/>
  <c r="F19" i="27"/>
  <c r="D19" i="27"/>
  <c r="I29" i="24"/>
  <c r="G29" i="24"/>
  <c r="G21" i="12"/>
  <c r="F63" i="22"/>
  <c r="F24" i="22"/>
  <c r="F21" i="22"/>
  <c r="D24" i="22"/>
  <c r="D21" i="22"/>
  <c r="W31" i="14" l="1"/>
  <c r="U31" i="14"/>
  <c r="I21" i="12"/>
  <c r="K21" i="12"/>
  <c r="G32" i="17"/>
  <c r="G32" i="16"/>
  <c r="E48" i="8"/>
  <c r="H66" i="22"/>
  <c r="H76" i="22" s="1"/>
  <c r="J124" i="18"/>
  <c r="J109" i="19"/>
  <c r="K98" i="24"/>
  <c r="J118" i="19"/>
  <c r="J82" i="19"/>
  <c r="P122" i="19"/>
  <c r="Z86" i="19"/>
  <c r="Z112" i="19" s="1"/>
  <c r="Z122" i="19" s="1"/>
  <c r="E26" i="11"/>
  <c r="E21" i="26"/>
  <c r="G33" i="12"/>
  <c r="F51" i="22"/>
  <c r="F28" i="28"/>
  <c r="F32" i="28" s="1"/>
  <c r="G59" i="25"/>
  <c r="G66" i="25" s="1"/>
  <c r="H52" i="21"/>
  <c r="H56" i="21" s="1"/>
  <c r="G77" i="24"/>
  <c r="G84" i="24" s="1"/>
  <c r="D63" i="22"/>
  <c r="E31" i="26"/>
  <c r="AA63" i="22"/>
  <c r="F28" i="27"/>
  <c r="F32" i="27" s="1"/>
  <c r="D28" i="28"/>
  <c r="D32" i="28" s="1"/>
  <c r="O35" i="11"/>
  <c r="I26" i="24"/>
  <c r="E27" i="14"/>
  <c r="O33" i="14"/>
  <c r="D51" i="22"/>
  <c r="G26" i="24"/>
  <c r="I77" i="24"/>
  <c r="I84" i="24" s="1"/>
  <c r="Q33" i="14"/>
  <c r="E35" i="11"/>
  <c r="Q26" i="11"/>
  <c r="E33" i="14"/>
  <c r="I21" i="24"/>
  <c r="I41" i="25"/>
  <c r="I45" i="25" s="1"/>
  <c r="D28" i="27"/>
  <c r="D32" i="27" s="1"/>
  <c r="O26" i="11"/>
  <c r="I59" i="25"/>
  <c r="I66" i="25" s="1"/>
  <c r="G21" i="26"/>
  <c r="F97" i="18"/>
  <c r="F54" i="18"/>
  <c r="D28" i="22"/>
  <c r="G21" i="24"/>
  <c r="G59" i="24"/>
  <c r="F27" i="18"/>
  <c r="I59" i="24"/>
  <c r="F28" i="22"/>
  <c r="G41" i="25"/>
  <c r="G45" i="25" s="1"/>
  <c r="G31" i="26"/>
  <c r="F28" i="29"/>
  <c r="F32" i="29" s="1"/>
  <c r="D28" i="29"/>
  <c r="D32" i="29" s="1"/>
  <c r="F52" i="21"/>
  <c r="F56" i="21" s="1"/>
  <c r="F70" i="21"/>
  <c r="F79" i="21" s="1"/>
  <c r="H70" i="21"/>
  <c r="H79" i="21" s="1"/>
  <c r="F115" i="18"/>
  <c r="F121" i="18" s="1"/>
  <c r="H97" i="18"/>
  <c r="F38" i="18"/>
  <c r="F46" i="18"/>
  <c r="H27" i="18"/>
  <c r="H38" i="18"/>
  <c r="H54" i="18"/>
  <c r="H115" i="18"/>
  <c r="H121" i="18" s="1"/>
  <c r="H46" i="18"/>
  <c r="F30" i="22" l="1"/>
  <c r="F55" i="22" s="1"/>
  <c r="F66" i="22" s="1"/>
  <c r="E37" i="14"/>
  <c r="Q37" i="14"/>
  <c r="D30" i="22"/>
  <c r="D55" i="22" s="1"/>
  <c r="D66" i="22" s="1"/>
  <c r="J86" i="19"/>
  <c r="J112" i="19" s="1"/>
  <c r="J122" i="19" s="1"/>
  <c r="G69" i="25"/>
  <c r="K33" i="12"/>
  <c r="E35" i="26"/>
  <c r="I31" i="24"/>
  <c r="I63" i="24" s="1"/>
  <c r="I87" i="24" s="1"/>
  <c r="H82" i="21"/>
  <c r="O39" i="11"/>
  <c r="Q39" i="11"/>
  <c r="E39" i="11"/>
  <c r="O37" i="14"/>
  <c r="G31" i="24"/>
  <c r="G63" i="24" s="1"/>
  <c r="G87" i="24" s="1"/>
  <c r="H56" i="18"/>
  <c r="H101" i="18" s="1"/>
  <c r="H124" i="18" s="1"/>
  <c r="G35" i="26"/>
  <c r="F56" i="18"/>
  <c r="F101" i="18" s="1"/>
  <c r="F124" i="18" s="1"/>
  <c r="I69" i="25"/>
  <c r="F82" i="21"/>
  <c r="U24" i="14" l="1"/>
  <c r="C48" i="8" l="1"/>
  <c r="A51" i="8" l="1"/>
  <c r="Z28" i="43" l="1"/>
  <c r="AE12" i="26" l="1"/>
  <c r="V12" i="2"/>
  <c r="X12" i="2"/>
  <c r="T9" i="37" l="1"/>
  <c r="AI20" i="20" l="1"/>
  <c r="AK20" i="20" s="1"/>
  <c r="B15" i="6"/>
  <c r="Q32" i="17" l="1"/>
  <c r="F15" i="6"/>
  <c r="L15" i="6" s="1"/>
  <c r="Q19" i="29"/>
  <c r="Q32" i="16" l="1"/>
  <c r="E9" i="45"/>
  <c r="D42" i="37" l="1"/>
  <c r="D44" i="37" l="1"/>
  <c r="G94" i="24"/>
  <c r="D72" i="22"/>
  <c r="F88" i="21"/>
  <c r="F56" i="44"/>
  <c r="G79" i="25" l="1"/>
  <c r="G98" i="24"/>
  <c r="D76" i="22"/>
  <c r="F92" i="21"/>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L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2" i="43" l="1"/>
  <c r="N42" i="43"/>
  <c r="P42" i="43"/>
  <c r="L42" i="43"/>
  <c r="R42" i="43"/>
  <c r="T42" i="43"/>
  <c r="F42" i="43"/>
  <c r="V42" i="43"/>
  <c r="H42" i="43"/>
  <c r="O12" i="40" l="1"/>
  <c r="H52" i="44"/>
  <c r="H56" i="44" l="1"/>
  <c r="C52" i="44"/>
  <c r="C56" i="44" l="1"/>
  <c r="C26" i="45"/>
  <c r="C30" i="45" s="1"/>
  <c r="I26" i="23" l="1"/>
  <c r="I77" i="23"/>
  <c r="I29" i="23"/>
  <c r="I84" i="23" l="1"/>
  <c r="G50" i="17"/>
  <c r="G58" i="17"/>
  <c r="I59" i="23"/>
  <c r="G42" i="17"/>
  <c r="I94" i="23"/>
  <c r="G26" i="16"/>
  <c r="G30" i="16" s="1"/>
  <c r="G124" i="17"/>
  <c r="G133" i="17" s="1"/>
  <c r="G58" i="16"/>
  <c r="H118" i="19"/>
  <c r="G26" i="17"/>
  <c r="G30" i="17" s="1"/>
  <c r="G50" i="16"/>
  <c r="G106" i="17"/>
  <c r="I31" i="23"/>
  <c r="H100" i="19"/>
  <c r="H109" i="19" s="1"/>
  <c r="AA24" i="22" l="1"/>
  <c r="G22" i="12" s="1"/>
  <c r="G31" i="14"/>
  <c r="G60" i="17"/>
  <c r="G110" i="17" s="1"/>
  <c r="G136" i="17" s="1"/>
  <c r="G124" i="16"/>
  <c r="G133" i="16" s="1"/>
  <c r="I63" i="23"/>
  <c r="I87" i="23" s="1"/>
  <c r="I98" i="23" s="1"/>
  <c r="G42" i="16"/>
  <c r="G60" i="16" s="1"/>
  <c r="Z16" i="43"/>
  <c r="Z15" i="43"/>
  <c r="Z12" i="43"/>
  <c r="N16" i="2" l="1"/>
  <c r="P24" i="22"/>
  <c r="Q48" i="16"/>
  <c r="Q48" i="17"/>
  <c r="K31" i="14"/>
  <c r="I31" i="14"/>
  <c r="I22" i="12"/>
  <c r="K22" i="12"/>
  <c r="H82" i="19"/>
  <c r="G106" i="16"/>
  <c r="G110" i="16" s="1"/>
  <c r="G136" i="16" s="1"/>
  <c r="E124" i="16" l="1"/>
  <c r="C48" i="16" l="1"/>
  <c r="C48" i="17"/>
  <c r="B24" i="22"/>
  <c r="S34" i="11" l="1"/>
  <c r="U34" i="11" s="1"/>
  <c r="AI33" i="20"/>
  <c r="N45" i="15"/>
  <c r="Q45" i="17" l="1"/>
  <c r="W34" i="11"/>
  <c r="AK33" i="20"/>
  <c r="L47" i="15"/>
  <c r="N17" i="3"/>
  <c r="Q45" i="16" l="1"/>
  <c r="Q54" i="17"/>
  <c r="Q54" i="16"/>
  <c r="L17" i="3"/>
  <c r="Y26" i="16"/>
  <c r="F45" i="15" l="1"/>
  <c r="X45" i="15" s="1"/>
  <c r="AB48" i="16" l="1"/>
  <c r="AB48" i="17"/>
  <c r="V45" i="15"/>
  <c r="Z21" i="43" l="1"/>
  <c r="Z27" i="43"/>
  <c r="AI82" i="23" l="1"/>
  <c r="AI19" i="23"/>
  <c r="D37" i="3"/>
  <c r="H27" i="5"/>
  <c r="D33" i="3"/>
  <c r="F33" i="15"/>
  <c r="E90" i="23"/>
  <c r="C81" i="17"/>
  <c r="D25" i="19"/>
  <c r="C96" i="17"/>
  <c r="C37" i="17"/>
  <c r="C37" i="16" l="1"/>
  <c r="D59" i="19"/>
  <c r="C83" i="17"/>
  <c r="O94" i="23"/>
  <c r="C83" i="16" l="1"/>
  <c r="Z33" i="43"/>
  <c r="R88" i="21" l="1"/>
  <c r="Q52" i="17"/>
  <c r="Q103" i="17"/>
  <c r="Q91" i="17"/>
  <c r="Q97" i="16"/>
  <c r="Q72" i="17"/>
  <c r="Q82" i="16"/>
  <c r="Q68" i="16"/>
  <c r="Q89" i="17"/>
  <c r="Q65" i="17"/>
  <c r="Q90" i="17"/>
  <c r="Q105" i="17"/>
  <c r="P28" i="22"/>
  <c r="Q69" i="17"/>
  <c r="Q100" i="16"/>
  <c r="Q102" i="16"/>
  <c r="Q88" i="17"/>
  <c r="Q122" i="17"/>
  <c r="Q75" i="17"/>
  <c r="Q76" i="17"/>
  <c r="Q78" i="17"/>
  <c r="Q31" i="26"/>
  <c r="Q97" i="17"/>
  <c r="Q22" i="16"/>
  <c r="Q69" i="16"/>
  <c r="Q90" i="16"/>
  <c r="Q91" i="16"/>
  <c r="Q95" i="17"/>
  <c r="Q38" i="17"/>
  <c r="Q108" i="17"/>
  <c r="Q64" i="16"/>
  <c r="Q98" i="16"/>
  <c r="Q101" i="16"/>
  <c r="Q82" i="17"/>
  <c r="Q88" i="16"/>
  <c r="Q127" i="17"/>
  <c r="Q101" i="17"/>
  <c r="Q52" i="16"/>
  <c r="Q99" i="17"/>
  <c r="Q89" i="16"/>
  <c r="Q76" i="16"/>
  <c r="Q34" i="17"/>
  <c r="Q108" i="16"/>
  <c r="Q21" i="17"/>
  <c r="Q83" i="17"/>
  <c r="Q70" i="16"/>
  <c r="Q73" i="16"/>
  <c r="Q73" i="17"/>
  <c r="R116" i="20"/>
  <c r="Q49" i="17"/>
  <c r="Q105" i="16"/>
  <c r="Q46" i="16"/>
  <c r="Q46" i="17"/>
  <c r="Q70" i="17"/>
  <c r="Q119" i="17"/>
  <c r="Q34" i="16"/>
  <c r="Q38" i="16"/>
  <c r="Q116" i="17"/>
  <c r="Q92" i="17"/>
  <c r="Q74" i="17"/>
  <c r="Q21" i="16"/>
  <c r="Q33" i="16"/>
  <c r="Q44" i="17"/>
  <c r="Q120" i="17"/>
  <c r="P19" i="28"/>
  <c r="Q37" i="17"/>
  <c r="Q77" i="16"/>
  <c r="Q55" i="17"/>
  <c r="Q56" i="17"/>
  <c r="Q56" i="16"/>
  <c r="Q86" i="17"/>
  <c r="Q96" i="16"/>
  <c r="Q96" i="17"/>
  <c r="P28" i="29"/>
  <c r="Q139" i="17"/>
  <c r="Q25" i="17"/>
  <c r="Q25" i="16"/>
  <c r="Q75" i="16"/>
  <c r="Q102" i="17"/>
  <c r="Q67" i="17"/>
  <c r="Q67" i="16"/>
  <c r="Q24" i="16"/>
  <c r="Q28" i="16"/>
  <c r="Q104" i="17"/>
  <c r="P19" i="29"/>
  <c r="Q84" i="17"/>
  <c r="Q84" i="16"/>
  <c r="Q100" i="17"/>
  <c r="Q98" i="17"/>
  <c r="P28" i="28"/>
  <c r="Q22" i="17"/>
  <c r="Q78" i="16"/>
  <c r="Q140" i="17"/>
  <c r="Q118" i="16"/>
  <c r="Q128" i="16"/>
  <c r="Q115" i="16" l="1"/>
  <c r="Q49" i="16"/>
  <c r="P39" i="28"/>
  <c r="R54" i="18"/>
  <c r="S75" i="25"/>
  <c r="Q122" i="16"/>
  <c r="Q85" i="16"/>
  <c r="Q74" i="16"/>
  <c r="Q123" i="16"/>
  <c r="P25" i="37"/>
  <c r="Q42" i="26"/>
  <c r="R100" i="20"/>
  <c r="R107" i="20" s="1"/>
  <c r="R82" i="20"/>
  <c r="R38" i="18"/>
  <c r="R97" i="18"/>
  <c r="R23" i="18"/>
  <c r="R27" i="18" s="1"/>
  <c r="P33" i="37"/>
  <c r="P42" i="37"/>
  <c r="S59" i="25"/>
  <c r="S66" i="25" s="1"/>
  <c r="S41" i="25"/>
  <c r="S45" i="25" s="1"/>
  <c r="P51" i="22"/>
  <c r="R29" i="20"/>
  <c r="R115" i="18"/>
  <c r="R121" i="18" s="1"/>
  <c r="R52" i="21"/>
  <c r="R56" i="21" s="1"/>
  <c r="P28" i="27"/>
  <c r="P32" i="27" s="1"/>
  <c r="Q85" i="17"/>
  <c r="Q24" i="17"/>
  <c r="Q118" i="17"/>
  <c r="Q65" i="16"/>
  <c r="Q39" i="16"/>
  <c r="Q47" i="17"/>
  <c r="R36" i="20"/>
  <c r="Q128" i="17"/>
  <c r="Q29" i="17"/>
  <c r="Q29" i="16"/>
  <c r="Q99" i="16"/>
  <c r="Q103" i="16"/>
  <c r="Q92" i="16"/>
  <c r="Q77" i="17"/>
  <c r="Q64" i="17"/>
  <c r="Q79" i="16"/>
  <c r="Q81" i="16"/>
  <c r="Q81" i="17"/>
  <c r="Q40" i="17"/>
  <c r="Q28" i="17"/>
  <c r="Q21" i="26"/>
  <c r="Q35" i="26" s="1"/>
  <c r="S26" i="24"/>
  <c r="Q121" i="17"/>
  <c r="Q131" i="17"/>
  <c r="Q123" i="17"/>
  <c r="Q104" i="16"/>
  <c r="R46" i="18"/>
  <c r="Q95" i="16"/>
  <c r="P39" i="29"/>
  <c r="R70" i="21"/>
  <c r="R79" i="21" s="1"/>
  <c r="Q114" i="17"/>
  <c r="Q94" i="16"/>
  <c r="Q115" i="17"/>
  <c r="S29" i="24"/>
  <c r="S77" i="24"/>
  <c r="S84" i="24" s="1"/>
  <c r="Q27" i="17"/>
  <c r="Q94" i="17"/>
  <c r="S94" i="24"/>
  <c r="Q40" i="16"/>
  <c r="Q121" i="16"/>
  <c r="Q39" i="17"/>
  <c r="Q72" i="16"/>
  <c r="Q33" i="17"/>
  <c r="Q36" i="16"/>
  <c r="Q36" i="17"/>
  <c r="Q86" i="16"/>
  <c r="Q57" i="16"/>
  <c r="Q57" i="17"/>
  <c r="P32" i="28"/>
  <c r="Q116" i="16"/>
  <c r="Q120" i="16"/>
  <c r="R29" i="19"/>
  <c r="Q37" i="16"/>
  <c r="P32" i="29"/>
  <c r="P30" i="22"/>
  <c r="Q83" i="16"/>
  <c r="D15" i="6"/>
  <c r="D14" i="6"/>
  <c r="D15" i="5"/>
  <c r="D14" i="5"/>
  <c r="AD21" i="22" l="1"/>
  <c r="AH23" i="19"/>
  <c r="AI23" i="20"/>
  <c r="AK23" i="20" s="1"/>
  <c r="P44" i="28"/>
  <c r="P44" i="29"/>
  <c r="Q47" i="26"/>
  <c r="P44" i="37"/>
  <c r="P55" i="22"/>
  <c r="P66" i="22" s="1"/>
  <c r="P76" i="22" s="1"/>
  <c r="R82" i="21"/>
  <c r="R92" i="21" s="1"/>
  <c r="Q119" i="16"/>
  <c r="R56" i="18"/>
  <c r="R101" i="18" s="1"/>
  <c r="R124" i="18" s="1"/>
  <c r="S69" i="25"/>
  <c r="S79" i="25" s="1"/>
  <c r="R100" i="19"/>
  <c r="R109" i="19" s="1"/>
  <c r="Q47" i="16"/>
  <c r="R36" i="19"/>
  <c r="R38" i="20"/>
  <c r="R86" i="20" s="1"/>
  <c r="R110" i="20" s="1"/>
  <c r="R120" i="20" s="1"/>
  <c r="Q114" i="16"/>
  <c r="Q44" i="16"/>
  <c r="Q127" i="16"/>
  <c r="R82" i="19"/>
  <c r="Q55" i="16"/>
  <c r="S29" i="23"/>
  <c r="Q131" i="16"/>
  <c r="F13" i="15"/>
  <c r="X13" i="15" s="1"/>
  <c r="F12" i="15"/>
  <c r="R38" i="19" l="1"/>
  <c r="R86" i="19" s="1"/>
  <c r="R112" i="19" s="1"/>
  <c r="Z39" i="43"/>
  <c r="C72"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4" i="23" l="1"/>
  <c r="Q77" i="23"/>
  <c r="Q84" i="23" s="1"/>
  <c r="Q63" i="23" l="1"/>
  <c r="Q87" i="23" s="1"/>
  <c r="Q98" i="23" s="1"/>
  <c r="G52" i="44" l="1"/>
  <c r="AB21" i="26" l="1"/>
  <c r="AA28" i="27"/>
  <c r="AA32" i="27" s="1"/>
  <c r="H26" i="5"/>
  <c r="G56" i="44"/>
  <c r="E49" i="7"/>
  <c r="R28" i="27" l="1"/>
  <c r="R32" i="27" s="1"/>
  <c r="S21" i="26"/>
  <c r="C41" i="10"/>
  <c r="C49" i="7" l="1"/>
  <c r="B17" i="43"/>
  <c r="F28" i="2" l="1"/>
  <c r="D29" i="3"/>
  <c r="D31" i="3"/>
  <c r="F30" i="2"/>
  <c r="F24" i="2"/>
  <c r="D106" i="19"/>
  <c r="S118" i="17" l="1"/>
  <c r="D25" i="3"/>
  <c r="Z17" i="43" l="1"/>
  <c r="AI73" i="20" l="1"/>
  <c r="AK73" i="20" s="1"/>
  <c r="N23" i="15"/>
  <c r="G20" i="12"/>
  <c r="N14" i="2"/>
  <c r="AI95" i="20"/>
  <c r="AK95" i="20" s="1"/>
  <c r="S30" i="11"/>
  <c r="U30" i="11" s="1"/>
  <c r="B6" i="24"/>
  <c r="W30" i="11" l="1"/>
  <c r="I20" i="12"/>
  <c r="K20" i="12"/>
  <c r="I124" i="17"/>
  <c r="I133" i="17" s="1"/>
  <c r="J56" i="15" l="1"/>
  <c r="H56" i="15"/>
  <c r="Y58" i="16" l="1"/>
  <c r="Y58" i="17"/>
  <c r="O22" i="40" l="1"/>
  <c r="D21" i="19" l="1"/>
  <c r="D35" i="19"/>
  <c r="D60" i="19"/>
  <c r="C25" i="16" l="1"/>
  <c r="R21" i="15" l="1"/>
  <c r="P21" i="15"/>
  <c r="N21" i="15"/>
  <c r="L21" i="15"/>
  <c r="J21" i="15"/>
  <c r="H21" i="15"/>
  <c r="D57" i="19" l="1"/>
  <c r="C81" i="16" s="1"/>
  <c r="D26" i="19"/>
  <c r="D61" i="19"/>
  <c r="D81" i="19"/>
  <c r="D74" i="19"/>
  <c r="D79" i="19"/>
  <c r="D115" i="19"/>
  <c r="D55" i="19"/>
  <c r="D45" i="19"/>
  <c r="D33" i="19"/>
  <c r="D62" i="19"/>
  <c r="D28" i="19"/>
  <c r="D70" i="19"/>
  <c r="D22" i="19"/>
  <c r="F37" i="15"/>
  <c r="X37" i="15" s="1"/>
  <c r="D44" i="19"/>
  <c r="D92" i="19"/>
  <c r="D32" i="19"/>
  <c r="D34" i="19"/>
  <c r="C57" i="16"/>
  <c r="D49" i="19"/>
  <c r="D80" i="19"/>
  <c r="D53" i="19"/>
  <c r="D23" i="19"/>
  <c r="D97" i="19"/>
  <c r="D47" i="19"/>
  <c r="D27" i="19"/>
  <c r="D78" i="19"/>
  <c r="D90" i="19"/>
  <c r="D24" i="19"/>
  <c r="D54" i="19"/>
  <c r="D76" i="19"/>
  <c r="D64" i="19"/>
  <c r="D31" i="19"/>
  <c r="D65" i="19"/>
  <c r="D72" i="19"/>
  <c r="D42" i="19"/>
  <c r="D20" i="19"/>
  <c r="D107" i="19"/>
  <c r="D58" i="19"/>
  <c r="D67" i="19"/>
  <c r="D51" i="19"/>
  <c r="D77" i="19"/>
  <c r="D73" i="19"/>
  <c r="C22" i="17"/>
  <c r="D104" i="19"/>
  <c r="D103" i="19"/>
  <c r="D17" i="19"/>
  <c r="B28" i="22"/>
  <c r="D84" i="19"/>
  <c r="AE33" i="19" l="1"/>
  <c r="AE20" i="19"/>
  <c r="J28" i="15" s="1"/>
  <c r="AE24" i="19"/>
  <c r="C96" i="16"/>
  <c r="C40" i="17"/>
  <c r="D75" i="19"/>
  <c r="D95" i="19"/>
  <c r="D46" i="19"/>
  <c r="D99" i="19"/>
  <c r="D98" i="19"/>
  <c r="D94" i="19"/>
  <c r="C131" i="17"/>
  <c r="D52" i="19"/>
  <c r="D96" i="19"/>
  <c r="D66" i="19"/>
  <c r="C57" i="17"/>
  <c r="D54" i="18"/>
  <c r="D71" i="19"/>
  <c r="D116" i="19"/>
  <c r="D102" i="19"/>
  <c r="C42" i="26"/>
  <c r="D68" i="19"/>
  <c r="D91" i="19"/>
  <c r="D50" i="19"/>
  <c r="C41" i="16"/>
  <c r="C41" i="17"/>
  <c r="AB41" i="17" s="1"/>
  <c r="V37" i="15"/>
  <c r="C40" i="16"/>
  <c r="K12" i="34"/>
  <c r="K11" i="34"/>
  <c r="L12" i="32"/>
  <c r="J13" i="33" s="1"/>
  <c r="D12" i="32"/>
  <c r="K14" i="31"/>
  <c r="C14" i="31"/>
  <c r="A8" i="31"/>
  <c r="A8" i="32" s="1"/>
  <c r="A7" i="33" s="1"/>
  <c r="S11" i="34" l="1"/>
  <c r="Z9" i="37"/>
  <c r="M12" i="34"/>
  <c r="S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S24" i="16" l="1"/>
  <c r="S24" i="17"/>
  <c r="K31" i="11"/>
  <c r="I31" i="11"/>
  <c r="S29" i="17" l="1"/>
  <c r="F24" i="15"/>
  <c r="S29" i="16"/>
  <c r="Q26" i="16"/>
  <c r="Q58" i="16" l="1"/>
  <c r="Q58" i="17"/>
  <c r="S68" i="16" l="1"/>
  <c r="S99" i="17"/>
  <c r="S36" i="16"/>
  <c r="S65" i="17"/>
  <c r="S69" i="17"/>
  <c r="S103" i="17"/>
  <c r="S89" i="16"/>
  <c r="S101" i="17"/>
  <c r="S104" i="17"/>
  <c r="S74" i="16"/>
  <c r="S75" i="16"/>
  <c r="S69" i="16"/>
  <c r="S64" i="17"/>
  <c r="S65" i="16"/>
  <c r="S67" i="17"/>
  <c r="S91" i="17"/>
  <c r="R42" i="37"/>
  <c r="S76" i="16"/>
  <c r="S121" i="17"/>
  <c r="S77" i="16"/>
  <c r="U77" i="24"/>
  <c r="U84" i="24" s="1"/>
  <c r="S86" i="17"/>
  <c r="S22" i="16"/>
  <c r="S97" i="17"/>
  <c r="S42" i="26"/>
  <c r="S88" i="16"/>
  <c r="S90" i="17"/>
  <c r="U75" i="25"/>
  <c r="S108" i="16"/>
  <c r="S103" i="16"/>
  <c r="R19" i="28"/>
  <c r="R32" i="28" s="1"/>
  <c r="S70" i="16"/>
  <c r="S85" i="16"/>
  <c r="S92" i="16"/>
  <c r="S95" i="17"/>
  <c r="S76" i="17"/>
  <c r="S49" i="17"/>
  <c r="S77" i="17"/>
  <c r="S90" i="16"/>
  <c r="T88" i="21"/>
  <c r="S34" i="17"/>
  <c r="S64" i="16"/>
  <c r="S101" i="16"/>
  <c r="S74" i="17"/>
  <c r="S115" i="17"/>
  <c r="R25" i="37"/>
  <c r="U94" i="24"/>
  <c r="R39" i="28"/>
  <c r="S56" i="17"/>
  <c r="S56" i="16"/>
  <c r="S100" i="17"/>
  <c r="S100" i="16"/>
  <c r="S123" i="16"/>
  <c r="T116" i="20"/>
  <c r="S82" i="16"/>
  <c r="S82" i="17"/>
  <c r="S131" i="17"/>
  <c r="S81" i="17"/>
  <c r="S81" i="16"/>
  <c r="S25" i="17"/>
  <c r="S25" i="16"/>
  <c r="R28" i="22"/>
  <c r="S99" i="16"/>
  <c r="S127" i="17"/>
  <c r="R19" i="29"/>
  <c r="S72" i="17"/>
  <c r="S72" i="16"/>
  <c r="S119" i="17"/>
  <c r="S31" i="26"/>
  <c r="S35" i="26" s="1"/>
  <c r="S98" i="17"/>
  <c r="S21" i="17"/>
  <c r="S88" i="17"/>
  <c r="S102" i="16"/>
  <c r="S46" i="17"/>
  <c r="S46" i="16"/>
  <c r="S91" i="16"/>
  <c r="S75" i="17"/>
  <c r="S36" i="17"/>
  <c r="S97" i="16"/>
  <c r="S78" i="17"/>
  <c r="S102" i="17"/>
  <c r="S114" i="17"/>
  <c r="S47" i="16"/>
  <c r="S140" i="17"/>
  <c r="U26" i="23"/>
  <c r="S44" i="16"/>
  <c r="AF18" i="23"/>
  <c r="C65" i="17"/>
  <c r="S40" i="17" l="1"/>
  <c r="T36" i="19"/>
  <c r="S121" i="16"/>
  <c r="S49" i="16"/>
  <c r="S78" i="16"/>
  <c r="S40" i="16"/>
  <c r="U26" i="24"/>
  <c r="T52" i="21"/>
  <c r="T56" i="21" s="1"/>
  <c r="T36" i="20"/>
  <c r="T46" i="18"/>
  <c r="R33" i="37"/>
  <c r="R44" i="37" s="1"/>
  <c r="S47" i="26"/>
  <c r="U41" i="25"/>
  <c r="U45" i="25" s="1"/>
  <c r="T54" i="18"/>
  <c r="T38" i="18"/>
  <c r="S52" i="17"/>
  <c r="S22" i="17"/>
  <c r="S26" i="17" s="1"/>
  <c r="U94" i="23"/>
  <c r="S67" i="16"/>
  <c r="T97" i="18"/>
  <c r="S116" i="16"/>
  <c r="S95" i="16"/>
  <c r="S115" i="16"/>
  <c r="T115" i="18"/>
  <c r="T121" i="18" s="1"/>
  <c r="U59" i="25"/>
  <c r="U66" i="25" s="1"/>
  <c r="S70" i="17"/>
  <c r="S120" i="17"/>
  <c r="S94" i="16"/>
  <c r="T23" i="18"/>
  <c r="T27" i="18" s="1"/>
  <c r="S21" i="16"/>
  <c r="S26" i="16" s="1"/>
  <c r="U21" i="24"/>
  <c r="R39" i="27"/>
  <c r="U29" i="24"/>
  <c r="T29" i="20"/>
  <c r="R44" i="28"/>
  <c r="S105" i="16"/>
  <c r="S105" i="17"/>
  <c r="S38" i="17"/>
  <c r="S38" i="16"/>
  <c r="S89" i="17"/>
  <c r="S94" i="17"/>
  <c r="S33" i="16"/>
  <c r="R39" i="29"/>
  <c r="S85" i="17"/>
  <c r="R51" i="22"/>
  <c r="S98" i="16"/>
  <c r="S83" i="17"/>
  <c r="S57" i="16"/>
  <c r="S57" i="17"/>
  <c r="S39" i="16"/>
  <c r="S116" i="17"/>
  <c r="S39" i="17"/>
  <c r="T70" i="21"/>
  <c r="T79" i="21" s="1"/>
  <c r="S139" i="17"/>
  <c r="S142" i="17" s="1"/>
  <c r="S108" i="17"/>
  <c r="S86" i="16"/>
  <c r="S123" i="17"/>
  <c r="S96" i="17"/>
  <c r="S79" i="16"/>
  <c r="S114" i="16"/>
  <c r="S104" i="16"/>
  <c r="S128" i="16"/>
  <c r="S128" i="17"/>
  <c r="S92" i="17"/>
  <c r="S28" i="16"/>
  <c r="S28" i="17"/>
  <c r="T82" i="20"/>
  <c r="S47" i="17"/>
  <c r="R28" i="29"/>
  <c r="R32" i="29" s="1"/>
  <c r="S73" i="16"/>
  <c r="S73" i="17"/>
  <c r="T100" i="20"/>
  <c r="S118" i="16"/>
  <c r="S33" i="17"/>
  <c r="S84" i="16"/>
  <c r="S84" i="17"/>
  <c r="S44" i="17"/>
  <c r="S37" i="17"/>
  <c r="S27" i="17"/>
  <c r="S122" i="17"/>
  <c r="S52" i="16"/>
  <c r="S55" i="17"/>
  <c r="S119" i="16"/>
  <c r="U77" i="23"/>
  <c r="U84" i="23" s="1"/>
  <c r="R30" i="22"/>
  <c r="S127" i="16"/>
  <c r="S34" i="16"/>
  <c r="S122" i="16"/>
  <c r="S131" i="16"/>
  <c r="R44" i="29" l="1"/>
  <c r="U69" i="25"/>
  <c r="U79" i="25" s="1"/>
  <c r="T82" i="21"/>
  <c r="T92" i="21" s="1"/>
  <c r="S58" i="17"/>
  <c r="T29" i="19"/>
  <c r="T56" i="18"/>
  <c r="T101" i="18" s="1"/>
  <c r="T124" i="18" s="1"/>
  <c r="S50" i="17"/>
  <c r="S42" i="17"/>
  <c r="S124" i="17"/>
  <c r="S133" i="17" s="1"/>
  <c r="U31" i="24"/>
  <c r="S106" i="17"/>
  <c r="U29" i="23"/>
  <c r="T82" i="19"/>
  <c r="S96" i="16"/>
  <c r="R55" i="22"/>
  <c r="R66" i="22" s="1"/>
  <c r="R76" i="22" s="1"/>
  <c r="S37" i="16"/>
  <c r="S55" i="16"/>
  <c r="S58" i="16" s="1"/>
  <c r="S83" i="16"/>
  <c r="S120" i="16"/>
  <c r="S30" i="17"/>
  <c r="T38" i="20"/>
  <c r="T86" i="20" s="1"/>
  <c r="T110" i="20" s="1"/>
  <c r="T120" i="20" s="1"/>
  <c r="T118" i="19"/>
  <c r="T100" i="19"/>
  <c r="T109" i="19" s="1"/>
  <c r="M259" i="42" l="1"/>
  <c r="S60" i="17"/>
  <c r="S110" i="17" s="1"/>
  <c r="S136" i="17" s="1"/>
  <c r="S146" i="17" s="1"/>
  <c r="T38" i="19"/>
  <c r="T86" i="19" s="1"/>
  <c r="T112" i="19" s="1"/>
  <c r="T122" i="19" s="1"/>
  <c r="E42" i="26"/>
  <c r="AD19" i="29" l="1"/>
  <c r="AJ18" i="24"/>
  <c r="AL18" i="24" s="1"/>
  <c r="AI18" i="23"/>
  <c r="AG21" i="24"/>
  <c r="AI55" i="20"/>
  <c r="AK55" i="20" s="1"/>
  <c r="E58" i="16"/>
  <c r="E58" i="17"/>
  <c r="E50" i="16"/>
  <c r="C127" i="17" l="1"/>
  <c r="O16" i="40"/>
  <c r="O24" i="40" l="1"/>
  <c r="A42" i="12" l="1"/>
  <c r="I58" i="17" l="1"/>
  <c r="I58" i="16"/>
  <c r="C21" i="17" l="1"/>
  <c r="C21" i="16"/>
  <c r="C20" i="41"/>
  <c r="C24" i="41" s="1"/>
  <c r="AA19" i="41"/>
  <c r="AA18" i="41"/>
  <c r="AA17" i="41"/>
  <c r="AA16" i="41"/>
  <c r="AA15" i="41"/>
  <c r="AA14" i="41"/>
  <c r="AA20" i="41" l="1"/>
  <c r="AA24" i="41" s="1"/>
  <c r="C25" i="17" l="1"/>
  <c r="O142" i="17" l="1"/>
  <c r="Q26" i="17" l="1"/>
  <c r="A52" i="9"/>
  <c r="A42" i="14" l="1"/>
  <c r="A42" i="13"/>
  <c r="A44" i="11"/>
  <c r="A44" i="10"/>
  <c r="C24" i="16" l="1"/>
  <c r="C24" i="17"/>
  <c r="AB24" i="17" s="1"/>
  <c r="F37" i="2" l="1"/>
  <c r="D38" i="3"/>
  <c r="G35" i="9"/>
  <c r="I35" i="9" s="1"/>
  <c r="U91" i="17"/>
  <c r="AA29" i="23"/>
  <c r="K35" i="9" l="1"/>
  <c r="AA21" i="23"/>
  <c r="AA26" i="23"/>
  <c r="AA94" i="23" l="1"/>
  <c r="Y50" i="16"/>
  <c r="Y106" i="17"/>
  <c r="Y42" i="17"/>
  <c r="Y30" i="16"/>
  <c r="Y50" i="17"/>
  <c r="Y124" i="17"/>
  <c r="Y133" i="17" s="1"/>
  <c r="Y26" i="17"/>
  <c r="AA31" i="23"/>
  <c r="AA77" i="23"/>
  <c r="AA84" i="23" s="1"/>
  <c r="Y106" i="16"/>
  <c r="AA59" i="23"/>
  <c r="Y42" i="16"/>
  <c r="B36" i="43"/>
  <c r="AI96" i="20" l="1"/>
  <c r="AK96" i="20" s="1"/>
  <c r="T18" i="6"/>
  <c r="C29" i="16"/>
  <c r="C73" i="17"/>
  <c r="C82" i="17"/>
  <c r="C104" i="17"/>
  <c r="C23" i="16"/>
  <c r="C38" i="17"/>
  <c r="C54" i="17"/>
  <c r="C88" i="17"/>
  <c r="C35" i="17"/>
  <c r="C33" i="17"/>
  <c r="C97" i="17"/>
  <c r="B26" i="6"/>
  <c r="C121" i="17"/>
  <c r="C100" i="17"/>
  <c r="C99" i="17"/>
  <c r="C130" i="17"/>
  <c r="L38" i="15"/>
  <c r="C105" i="17"/>
  <c r="E92" i="23"/>
  <c r="C102" i="17"/>
  <c r="D23" i="18"/>
  <c r="C84" i="17"/>
  <c r="C54" i="16"/>
  <c r="C118" i="17"/>
  <c r="C36" i="17"/>
  <c r="C23" i="17"/>
  <c r="AB23" i="17" s="1"/>
  <c r="C67" i="17"/>
  <c r="Y124" i="16"/>
  <c r="Y133" i="16" s="1"/>
  <c r="AA63" i="23"/>
  <c r="AA87" i="23" s="1"/>
  <c r="U120" i="17" l="1"/>
  <c r="C74" i="17"/>
  <c r="C45" i="17"/>
  <c r="C70" i="17"/>
  <c r="B21" i="5"/>
  <c r="C94" i="17"/>
  <c r="C123" i="17"/>
  <c r="C101" i="17"/>
  <c r="C122" i="17"/>
  <c r="C76" i="17"/>
  <c r="C68" i="17"/>
  <c r="AB68" i="17" s="1"/>
  <c r="C46" i="17"/>
  <c r="C49" i="17"/>
  <c r="C90" i="17"/>
  <c r="C98" i="17"/>
  <c r="D115" i="18"/>
  <c r="D121" i="18" s="1"/>
  <c r="E91" i="23"/>
  <c r="C114" i="17"/>
  <c r="C89" i="17"/>
  <c r="C128" i="17"/>
  <c r="C91" i="17"/>
  <c r="C79" i="17"/>
  <c r="C103" i="17"/>
  <c r="C28" i="16"/>
  <c r="C108" i="17"/>
  <c r="C95" i="17"/>
  <c r="C34" i="17"/>
  <c r="C27" i="17"/>
  <c r="C52" i="17"/>
  <c r="C28" i="17"/>
  <c r="C44" i="17"/>
  <c r="C130" i="16"/>
  <c r="C72" i="17"/>
  <c r="C72" i="16"/>
  <c r="C56" i="16"/>
  <c r="C56" i="17"/>
  <c r="C92" i="17"/>
  <c r="C85" i="17"/>
  <c r="C77" i="17"/>
  <c r="D97" i="18"/>
  <c r="C64" i="17"/>
  <c r="C39" i="17"/>
  <c r="C32" i="17"/>
  <c r="C52" i="16"/>
  <c r="C29" i="17"/>
  <c r="C69" i="17"/>
  <c r="C53" i="17"/>
  <c r="C53" i="16"/>
  <c r="C78" i="17"/>
  <c r="C75" i="17"/>
  <c r="C115" i="17"/>
  <c r="C116" i="17"/>
  <c r="C26" i="17"/>
  <c r="C22" i="16"/>
  <c r="C26" i="16" s="1"/>
  <c r="C47" i="17"/>
  <c r="C126" i="17"/>
  <c r="C55" i="17"/>
  <c r="C120" i="17"/>
  <c r="C119" i="17"/>
  <c r="C86" i="17"/>
  <c r="AA28" i="22" l="1"/>
  <c r="AA30" i="22" s="1"/>
  <c r="L56" i="15"/>
  <c r="N55" i="15"/>
  <c r="C42" i="17"/>
  <c r="C58" i="17"/>
  <c r="AB82" i="19"/>
  <c r="AB36" i="19"/>
  <c r="AB29" i="19"/>
  <c r="U67" i="17" l="1"/>
  <c r="N17" i="2"/>
  <c r="G23" i="12"/>
  <c r="T28" i="22"/>
  <c r="AB38" i="19"/>
  <c r="AB86" i="19" s="1"/>
  <c r="I23" i="12" l="1"/>
  <c r="T30" i="22"/>
  <c r="K23" i="12"/>
  <c r="I26" i="17" l="1"/>
  <c r="I26" i="16"/>
  <c r="AI81" i="20" l="1"/>
  <c r="AK81" i="20" s="1"/>
  <c r="U105" i="17"/>
  <c r="U114" i="17" l="1"/>
  <c r="G34" i="11" l="1"/>
  <c r="K34" i="11" s="1"/>
  <c r="F29" i="19"/>
  <c r="F36" i="19"/>
  <c r="G21" i="23"/>
  <c r="G26" i="23"/>
  <c r="Y60" i="16"/>
  <c r="Y110" i="16" s="1"/>
  <c r="Y136" i="16" s="1"/>
  <c r="L34" i="2"/>
  <c r="U36" i="16" l="1"/>
  <c r="U101" i="17"/>
  <c r="W21" i="23"/>
  <c r="W26" i="24"/>
  <c r="U78" i="17"/>
  <c r="U96" i="17"/>
  <c r="U31" i="26"/>
  <c r="U35" i="26" s="1"/>
  <c r="U121" i="17"/>
  <c r="U25" i="17"/>
  <c r="U64" i="17"/>
  <c r="U39" i="17"/>
  <c r="U103" i="17"/>
  <c r="T19" i="29"/>
  <c r="U67" i="16"/>
  <c r="U105" i="16"/>
  <c r="U86" i="17"/>
  <c r="U74" i="16"/>
  <c r="U65" i="17"/>
  <c r="U68" i="16"/>
  <c r="U90" i="17"/>
  <c r="U77" i="17"/>
  <c r="U91" i="16"/>
  <c r="U22" i="16"/>
  <c r="U88" i="17"/>
  <c r="U98" i="17"/>
  <c r="U46" i="16"/>
  <c r="U128" i="16"/>
  <c r="U81" i="17"/>
  <c r="U131" i="17"/>
  <c r="V88" i="21"/>
  <c r="U97" i="17"/>
  <c r="U76" i="17"/>
  <c r="U84" i="16"/>
  <c r="U83" i="17"/>
  <c r="U123" i="17"/>
  <c r="V116" i="20"/>
  <c r="W21" i="24"/>
  <c r="I34" i="11"/>
  <c r="U104" i="17"/>
  <c r="U81" i="16"/>
  <c r="U47" i="17"/>
  <c r="U115" i="17"/>
  <c r="U72" i="17"/>
  <c r="U72" i="16"/>
  <c r="U27" i="17"/>
  <c r="U119" i="17"/>
  <c r="U108" i="17"/>
  <c r="U38" i="16"/>
  <c r="U115" i="16"/>
  <c r="U46" i="17"/>
  <c r="U25" i="16"/>
  <c r="U70" i="17"/>
  <c r="U22" i="17"/>
  <c r="U57" i="16"/>
  <c r="U57" i="17"/>
  <c r="U94" i="17"/>
  <c r="U75" i="17"/>
  <c r="U75" i="16"/>
  <c r="U99" i="16"/>
  <c r="U99" i="17"/>
  <c r="U103" i="16"/>
  <c r="V36" i="20"/>
  <c r="U55" i="17"/>
  <c r="U52" i="16"/>
  <c r="U52" i="17"/>
  <c r="G77" i="23"/>
  <c r="G84" i="23" s="1"/>
  <c r="G59" i="23"/>
  <c r="G29" i="23"/>
  <c r="F100" i="19"/>
  <c r="F109" i="19" s="1"/>
  <c r="V36" i="19" l="1"/>
  <c r="U47" i="16"/>
  <c r="U85" i="16"/>
  <c r="U108" i="16"/>
  <c r="U123" i="16"/>
  <c r="U49" i="16"/>
  <c r="U94" i="16"/>
  <c r="T39" i="28"/>
  <c r="V38" i="18"/>
  <c r="T33" i="37"/>
  <c r="U39" i="16"/>
  <c r="W94" i="24"/>
  <c r="U102" i="17"/>
  <c r="W29" i="24"/>
  <c r="W31" i="24" s="1"/>
  <c r="U96" i="16"/>
  <c r="U92" i="17"/>
  <c r="U70" i="16"/>
  <c r="U78" i="16"/>
  <c r="U101" i="16"/>
  <c r="V29" i="20"/>
  <c r="U37" i="17"/>
  <c r="U33" i="16"/>
  <c r="U86" i="16"/>
  <c r="U88" i="16"/>
  <c r="U97" i="16"/>
  <c r="U102" i="16"/>
  <c r="U38" i="17"/>
  <c r="U74" i="17"/>
  <c r="W77" i="23"/>
  <c r="W84" i="23" s="1"/>
  <c r="U65" i="16"/>
  <c r="U76" i="16"/>
  <c r="U79" i="16"/>
  <c r="T42" i="37"/>
  <c r="T39" i="29"/>
  <c r="W59" i="23"/>
  <c r="T51" i="22"/>
  <c r="V82" i="20"/>
  <c r="V115" i="18"/>
  <c r="V121" i="18" s="1"/>
  <c r="V54" i="18"/>
  <c r="V23" i="18"/>
  <c r="V27" i="18" s="1"/>
  <c r="T25" i="37"/>
  <c r="U42" i="26"/>
  <c r="U47" i="26" s="1"/>
  <c r="W59" i="25"/>
  <c r="W66" i="25" s="1"/>
  <c r="W41" i="25"/>
  <c r="W45" i="25" s="1"/>
  <c r="W94" i="23"/>
  <c r="V52" i="21"/>
  <c r="V56" i="21" s="1"/>
  <c r="V97" i="18"/>
  <c r="U100" i="17"/>
  <c r="U100" i="16"/>
  <c r="U127" i="17"/>
  <c r="U34" i="17"/>
  <c r="U116" i="17"/>
  <c r="U98" i="16"/>
  <c r="U82" i="16"/>
  <c r="U82" i="17"/>
  <c r="U104" i="16"/>
  <c r="U28" i="16"/>
  <c r="U28" i="17"/>
  <c r="U85" i="17"/>
  <c r="U122" i="16"/>
  <c r="U40" i="16"/>
  <c r="U64" i="16"/>
  <c r="U77" i="16"/>
  <c r="W59" i="24"/>
  <c r="U89" i="16"/>
  <c r="U36" i="17"/>
  <c r="U128" i="17"/>
  <c r="U121" i="16"/>
  <c r="U73" i="16"/>
  <c r="U73" i="17"/>
  <c r="T28" i="29"/>
  <c r="T32" i="29" s="1"/>
  <c r="U89" i="17"/>
  <c r="U44" i="17"/>
  <c r="U56" i="16"/>
  <c r="U56" i="17"/>
  <c r="U58" i="17" s="1"/>
  <c r="W77" i="24"/>
  <c r="W84" i="24" s="1"/>
  <c r="T19" i="28"/>
  <c r="T32" i="28" s="1"/>
  <c r="U84" i="17"/>
  <c r="U21" i="16"/>
  <c r="U40" i="17"/>
  <c r="V46" i="18"/>
  <c r="V70" i="21"/>
  <c r="V79" i="21" s="1"/>
  <c r="U21" i="17"/>
  <c r="U95" i="16"/>
  <c r="U95" i="17"/>
  <c r="W75" i="25"/>
  <c r="V100" i="20"/>
  <c r="V107" i="20" s="1"/>
  <c r="U122" i="17"/>
  <c r="U92" i="16"/>
  <c r="U69" i="16"/>
  <c r="U69" i="17"/>
  <c r="U49" i="17"/>
  <c r="U33" i="17"/>
  <c r="U90" i="16"/>
  <c r="U139" i="17"/>
  <c r="U116" i="16"/>
  <c r="U114" i="16"/>
  <c r="U118" i="16"/>
  <c r="U44" i="16"/>
  <c r="W26" i="23"/>
  <c r="U119" i="16"/>
  <c r="U140" i="17"/>
  <c r="V100" i="19"/>
  <c r="U55" i="16"/>
  <c r="W29" i="23"/>
  <c r="U83" i="16"/>
  <c r="G31" i="23"/>
  <c r="G63" i="23" s="1"/>
  <c r="G87" i="23" s="1"/>
  <c r="F82" i="19"/>
  <c r="T44" i="28" l="1"/>
  <c r="T44" i="29"/>
  <c r="U124" i="17"/>
  <c r="U133" i="17" s="1"/>
  <c r="U37" i="16"/>
  <c r="T44" i="37"/>
  <c r="U50" i="16"/>
  <c r="V118" i="19"/>
  <c r="V82" i="21"/>
  <c r="V92" i="21" s="1"/>
  <c r="V29" i="19"/>
  <c r="V38" i="19" s="1"/>
  <c r="V38" i="20"/>
  <c r="V86" i="20" s="1"/>
  <c r="V110" i="20" s="1"/>
  <c r="V120" i="20" s="1"/>
  <c r="W69" i="25"/>
  <c r="W79" i="25" s="1"/>
  <c r="U120" i="16"/>
  <c r="U124" i="16" s="1"/>
  <c r="U106" i="17"/>
  <c r="W63" i="24"/>
  <c r="W87" i="24" s="1"/>
  <c r="W98" i="24" s="1"/>
  <c r="T55" i="22"/>
  <c r="T66" i="22" s="1"/>
  <c r="T76" i="22" s="1"/>
  <c r="V56" i="18"/>
  <c r="V101" i="18" s="1"/>
  <c r="V124" i="18" s="1"/>
  <c r="U142" i="17"/>
  <c r="U42" i="17"/>
  <c r="U50" i="17"/>
  <c r="U58" i="16"/>
  <c r="V82" i="19"/>
  <c r="U26" i="17"/>
  <c r="U30" i="17" s="1"/>
  <c r="U131" i="16"/>
  <c r="U26" i="16"/>
  <c r="U30" i="16" s="1"/>
  <c r="U127" i="16"/>
  <c r="V109" i="19"/>
  <c r="U34" i="16"/>
  <c r="U106" i="16"/>
  <c r="W31" i="23"/>
  <c r="W63" i="23" s="1"/>
  <c r="W87" i="23" s="1"/>
  <c r="W98" i="23" s="1"/>
  <c r="O22" i="39"/>
  <c r="O45" i="39"/>
  <c r="O38" i="39"/>
  <c r="O28" i="39"/>
  <c r="U42" i="16" l="1"/>
  <c r="U60" i="16" s="1"/>
  <c r="U110" i="16" s="1"/>
  <c r="U133" i="16"/>
  <c r="U60" i="17"/>
  <c r="U110" i="17" s="1"/>
  <c r="U136" i="17" s="1"/>
  <c r="U146" i="17" s="1"/>
  <c r="V86" i="19"/>
  <c r="V112" i="19" s="1"/>
  <c r="V122" i="19" s="1"/>
  <c r="O30" i="39"/>
  <c r="U136" i="16" l="1"/>
  <c r="O48" i="39"/>
  <c r="O50" i="39" s="1"/>
  <c r="C47" i="16"/>
  <c r="E57" i="23" l="1"/>
  <c r="AF57" i="23" s="1"/>
  <c r="E58" i="23"/>
  <c r="C34" i="16" l="1"/>
  <c r="C103" i="16"/>
  <c r="E50" i="23"/>
  <c r="E68" i="23"/>
  <c r="E47" i="23"/>
  <c r="AF47" i="23" s="1"/>
  <c r="AE35" i="17"/>
  <c r="E56" i="23"/>
  <c r="E28" i="23"/>
  <c r="T23" i="6"/>
  <c r="C102" i="16"/>
  <c r="E20" i="23"/>
  <c r="E75" i="23"/>
  <c r="E24" i="23"/>
  <c r="C82" i="16"/>
  <c r="C95" i="16"/>
  <c r="C104" i="16"/>
  <c r="E61" i="23"/>
  <c r="C73" i="16"/>
  <c r="E67" i="23"/>
  <c r="E72" i="23"/>
  <c r="I25" i="10"/>
  <c r="C68" i="16"/>
  <c r="E23" i="23"/>
  <c r="C84" i="16"/>
  <c r="E55" i="23"/>
  <c r="E41" i="23"/>
  <c r="AF41" i="23" s="1"/>
  <c r="E25" i="23"/>
  <c r="E52" i="23"/>
  <c r="E19" i="23"/>
  <c r="E79" i="23"/>
  <c r="AC77" i="23"/>
  <c r="AC84" i="23" s="1"/>
  <c r="AC59" i="23"/>
  <c r="AC29" i="23"/>
  <c r="AC26" i="23"/>
  <c r="AC21" i="23"/>
  <c r="AF19" i="23" l="1"/>
  <c r="AF24" i="23"/>
  <c r="AF25" i="23"/>
  <c r="C55" i="16"/>
  <c r="C58" i="16" s="1"/>
  <c r="C46" i="16"/>
  <c r="C35" i="16"/>
  <c r="AB35" i="16" s="1"/>
  <c r="C38" i="16"/>
  <c r="C32" i="16"/>
  <c r="AE102" i="19"/>
  <c r="C44" i="16"/>
  <c r="C88" i="16"/>
  <c r="C39" i="16"/>
  <c r="C115" i="16"/>
  <c r="C101" i="16"/>
  <c r="C119" i="16"/>
  <c r="C49" i="16"/>
  <c r="C126" i="16"/>
  <c r="C45" i="16"/>
  <c r="C36" i="16"/>
  <c r="C76" i="16"/>
  <c r="E106" i="16"/>
  <c r="E106" i="17"/>
  <c r="AB23" i="16"/>
  <c r="E42" i="16"/>
  <c r="E42" i="17"/>
  <c r="E124" i="17"/>
  <c r="E133" i="17" s="1"/>
  <c r="E50" i="17"/>
  <c r="E40" i="23"/>
  <c r="E80" i="23"/>
  <c r="C69" i="16"/>
  <c r="C105" i="16"/>
  <c r="C75" i="16"/>
  <c r="C92" i="16"/>
  <c r="C90" i="16"/>
  <c r="C89" i="16"/>
  <c r="E49" i="23"/>
  <c r="E71" i="23"/>
  <c r="E43" i="23"/>
  <c r="E39" i="23"/>
  <c r="C74" i="16" s="1"/>
  <c r="C64" i="16"/>
  <c r="D29" i="19"/>
  <c r="C99" i="16"/>
  <c r="D36" i="19"/>
  <c r="E54" i="23"/>
  <c r="E42" i="23"/>
  <c r="C78" i="16" s="1"/>
  <c r="E74" i="23"/>
  <c r="E37" i="23"/>
  <c r="C67" i="16" s="1"/>
  <c r="E82" i="23"/>
  <c r="E69" i="23"/>
  <c r="E35" i="23"/>
  <c r="C65" i="16" s="1"/>
  <c r="E48" i="23"/>
  <c r="E44" i="23"/>
  <c r="E81" i="23"/>
  <c r="C70" i="16"/>
  <c r="E53" i="23"/>
  <c r="C100" i="16"/>
  <c r="E76" i="23"/>
  <c r="E73" i="23"/>
  <c r="C94" i="16"/>
  <c r="C77" i="16"/>
  <c r="E45" i="23"/>
  <c r="AC31" i="23"/>
  <c r="AC63" i="23" s="1"/>
  <c r="AC87" i="23" s="1"/>
  <c r="J36" i="2" l="1"/>
  <c r="AF76" i="23"/>
  <c r="AF82" i="23"/>
  <c r="C79" i="16"/>
  <c r="D38" i="19"/>
  <c r="C118" i="16"/>
  <c r="C121" i="16"/>
  <c r="C128" i="16"/>
  <c r="C127" i="16"/>
  <c r="C122" i="16"/>
  <c r="C114" i="16"/>
  <c r="C108" i="16"/>
  <c r="C98" i="16"/>
  <c r="E26" i="17"/>
  <c r="E26" i="16"/>
  <c r="C91" i="16"/>
  <c r="C116" i="16"/>
  <c r="C97" i="16"/>
  <c r="C131" i="16"/>
  <c r="C85" i="16"/>
  <c r="C120" i="16"/>
  <c r="C86" i="16"/>
  <c r="C123" i="16"/>
  <c r="E133" i="16"/>
  <c r="D82" i="19"/>
  <c r="D100" i="19"/>
  <c r="D109" i="19" s="1"/>
  <c r="D118" i="19"/>
  <c r="C124" i="17"/>
  <c r="C133" i="17" s="1"/>
  <c r="R41" i="2" l="1"/>
  <c r="R33" i="2"/>
  <c r="E30" i="17"/>
  <c r="E60" i="17" s="1"/>
  <c r="E110" i="17" s="1"/>
  <c r="E136" i="17" s="1"/>
  <c r="E30" i="16"/>
  <c r="E60" i="16" s="1"/>
  <c r="E110" i="16" s="1"/>
  <c r="E136" i="16" s="1"/>
  <c r="D86" i="19"/>
  <c r="D112" i="19" s="1"/>
  <c r="D122" i="19" s="1"/>
  <c r="S26" i="23" l="1"/>
  <c r="L51" i="2"/>
  <c r="A6" i="37"/>
  <c r="B9" i="37"/>
  <c r="F18" i="32" l="1"/>
  <c r="A5" i="45"/>
  <c r="A6" i="38"/>
  <c r="A6" i="39" s="1"/>
  <c r="S77" i="23"/>
  <c r="S84" i="23" s="1"/>
  <c r="S94" i="23"/>
  <c r="AJ20" i="24" l="1"/>
  <c r="AL20" i="24" s="1"/>
  <c r="Y20" i="24"/>
  <c r="Y20" i="23" s="1"/>
  <c r="AD21" i="24"/>
  <c r="G20" i="14" s="1"/>
  <c r="K20" i="14" s="1"/>
  <c r="B6" i="40"/>
  <c r="O10" i="39"/>
  <c r="O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Y21" i="24" l="1"/>
  <c r="Y21" i="23"/>
  <c r="P35" i="15"/>
  <c r="AF20" i="23"/>
  <c r="AI24" i="23"/>
  <c r="P15" i="2" l="1"/>
  <c r="Q50" i="17"/>
  <c r="Q42" i="17"/>
  <c r="F29" i="5"/>
  <c r="Y44" i="24" l="1"/>
  <c r="Y44" i="23" s="1"/>
  <c r="AF44" i="23" s="1"/>
  <c r="X110" i="18"/>
  <c r="W119" i="17" s="1"/>
  <c r="F29" i="2"/>
  <c r="Q106" i="17"/>
  <c r="Q124" i="17"/>
  <c r="Q133" i="17" s="1"/>
  <c r="Q124" i="16"/>
  <c r="Q50" i="16"/>
  <c r="D29" i="2" l="1"/>
  <c r="D30" i="3" s="1"/>
  <c r="Q142" i="17"/>
  <c r="X64" i="21" l="1"/>
  <c r="X94" i="19" s="1"/>
  <c r="X69" i="21"/>
  <c r="X99" i="19" s="1"/>
  <c r="X31" i="21"/>
  <c r="X55" i="19" s="1"/>
  <c r="AE55" i="19" s="1"/>
  <c r="X68" i="20"/>
  <c r="H33" i="2" l="1"/>
  <c r="H28" i="2"/>
  <c r="AF54" i="23"/>
  <c r="AF37" i="23"/>
  <c r="AF49" i="23"/>
  <c r="F42" i="37"/>
  <c r="B42" i="37"/>
  <c r="B33" i="37"/>
  <c r="B25" i="37"/>
  <c r="AF79" i="23" l="1"/>
  <c r="AF68" i="23"/>
  <c r="AF81" i="23"/>
  <c r="AF80" i="23"/>
  <c r="F44" i="37"/>
  <c r="B44" i="37"/>
  <c r="R37" i="2" l="1"/>
  <c r="R38" i="2"/>
  <c r="R25" i="2"/>
  <c r="R36" i="2"/>
  <c r="AB100" i="19"/>
  <c r="B28" i="29" l="1"/>
  <c r="B19" i="29"/>
  <c r="B28" i="28"/>
  <c r="B19" i="28"/>
  <c r="B28" i="27"/>
  <c r="B19" i="27"/>
  <c r="C31" i="26"/>
  <c r="C21" i="26"/>
  <c r="E59" i="25"/>
  <c r="E66" i="25" s="1"/>
  <c r="E41" i="25"/>
  <c r="E45" i="25" s="1"/>
  <c r="E77" i="24"/>
  <c r="E84" i="24" s="1"/>
  <c r="E59" i="24"/>
  <c r="E29" i="24"/>
  <c r="E26" i="24"/>
  <c r="E21" i="24"/>
  <c r="K29" i="23"/>
  <c r="E29" i="23"/>
  <c r="K26" i="23"/>
  <c r="B63" i="22"/>
  <c r="B51" i="22"/>
  <c r="B21" i="22"/>
  <c r="D70" i="21"/>
  <c r="D79" i="21" s="1"/>
  <c r="D52" i="21"/>
  <c r="D56" i="21" s="1"/>
  <c r="H36" i="19"/>
  <c r="D46" i="18"/>
  <c r="D38" i="18"/>
  <c r="E69" i="25" l="1"/>
  <c r="B30" i="22"/>
  <c r="B55" i="22" s="1"/>
  <c r="B66" i="22" s="1"/>
  <c r="C35" i="26"/>
  <c r="C47" i="26" s="1"/>
  <c r="H29" i="19"/>
  <c r="B32" i="27"/>
  <c r="E47" i="26"/>
  <c r="K21" i="23"/>
  <c r="E77" i="23"/>
  <c r="E84" i="23" s="1"/>
  <c r="E26" i="23"/>
  <c r="B32" i="29"/>
  <c r="B32" i="28"/>
  <c r="D82" i="21"/>
  <c r="E31" i="24"/>
  <c r="E63" i="24" s="1"/>
  <c r="E87" i="24" s="1"/>
  <c r="K77" i="23"/>
  <c r="K84" i="23" s="1"/>
  <c r="E59" i="23"/>
  <c r="K59" i="23"/>
  <c r="H38" i="19" l="1"/>
  <c r="H86" i="19" s="1"/>
  <c r="H112" i="19" s="1"/>
  <c r="H122" i="19" s="1"/>
  <c r="K31" i="23"/>
  <c r="K63" i="23" s="1"/>
  <c r="U21" i="11" l="1"/>
  <c r="K87" i="23"/>
  <c r="R41" i="15" l="1"/>
  <c r="K139" i="30" l="1"/>
  <c r="I50" i="17" l="1"/>
  <c r="U21" i="23" l="1"/>
  <c r="Y142" i="17"/>
  <c r="U31" i="23" l="1"/>
  <c r="I42" i="17"/>
  <c r="I30" i="17"/>
  <c r="I30" i="16"/>
  <c r="K94" i="23"/>
  <c r="B72" i="22"/>
  <c r="S42" i="16"/>
  <c r="S124" i="16"/>
  <c r="S133" i="16" s="1"/>
  <c r="S50" i="16"/>
  <c r="AA98" i="23" l="1"/>
  <c r="I124" i="16"/>
  <c r="I133" i="16" s="1"/>
  <c r="I50" i="16"/>
  <c r="I60" i="17"/>
  <c r="I42" i="16"/>
  <c r="I106" i="16"/>
  <c r="I106" i="17"/>
  <c r="I110" i="17" l="1"/>
  <c r="I136" i="17" s="1"/>
  <c r="K98" i="23"/>
  <c r="I60" i="16"/>
  <c r="I110" i="16" s="1"/>
  <c r="I136" i="16" s="1"/>
  <c r="I42" i="10" l="1"/>
  <c r="I40" i="13"/>
  <c r="N28" i="15" l="1"/>
  <c r="N38" i="15" s="1"/>
  <c r="G94" i="23" l="1"/>
  <c r="X85" i="18" l="1"/>
  <c r="X78" i="20"/>
  <c r="AI78" i="20"/>
  <c r="AK78" i="20" s="1"/>
  <c r="X22" i="20"/>
  <c r="X90" i="18"/>
  <c r="X35" i="20"/>
  <c r="X35" i="19" s="1"/>
  <c r="V28" i="37"/>
  <c r="X53" i="18"/>
  <c r="W57" i="17" s="1"/>
  <c r="AB57" i="17" s="1"/>
  <c r="F55" i="15"/>
  <c r="X55" i="15" s="1"/>
  <c r="G98" i="23"/>
  <c r="D55" i="15" l="1"/>
  <c r="V55" i="15" s="1"/>
  <c r="W57" i="16"/>
  <c r="AB57" i="16" s="1"/>
  <c r="H46" i="15"/>
  <c r="AE35" i="19"/>
  <c r="X22" i="19"/>
  <c r="W34" i="17"/>
  <c r="AH31" i="19"/>
  <c r="AE22" i="19" l="1"/>
  <c r="W34" i="16"/>
  <c r="H30" i="15"/>
  <c r="AH24" i="19"/>
  <c r="AH96" i="19"/>
  <c r="AI80" i="23"/>
  <c r="AH98" i="19"/>
  <c r="AH73" i="19"/>
  <c r="AH32" i="19"/>
  <c r="AI81" i="23"/>
  <c r="AE35" i="16"/>
  <c r="AH33" i="19"/>
  <c r="AI20" i="23"/>
  <c r="T20" i="5"/>
  <c r="AI79" i="23"/>
  <c r="AI75" i="23"/>
  <c r="AH79" i="19"/>
  <c r="AL20" i="23" l="1"/>
  <c r="AN20" i="23" s="1"/>
  <c r="AD31" i="15"/>
  <c r="AI21" i="23"/>
  <c r="G30" i="11" l="1"/>
  <c r="X103" i="20"/>
  <c r="W127" i="17" s="1"/>
  <c r="AI103" i="20"/>
  <c r="AK103" i="20" s="1"/>
  <c r="H38" i="3"/>
  <c r="X103" i="19"/>
  <c r="N53" i="15"/>
  <c r="N56" i="15" s="1"/>
  <c r="AF97" i="18" l="1"/>
  <c r="V24" i="37"/>
  <c r="J18" i="32"/>
  <c r="X93" i="18"/>
  <c r="M50" i="42"/>
  <c r="AI97" i="20"/>
  <c r="AK97" i="20" s="1"/>
  <c r="AH97" i="19"/>
  <c r="AH104" i="19"/>
  <c r="AI104" i="20"/>
  <c r="AK104" i="20" s="1"/>
  <c r="X76" i="21"/>
  <c r="X106" i="19" s="1"/>
  <c r="S32" i="11"/>
  <c r="AI76" i="21"/>
  <c r="AK76" i="21" s="1"/>
  <c r="Y22" i="25"/>
  <c r="AE81" i="17"/>
  <c r="AH57" i="19"/>
  <c r="AE81" i="16" s="1"/>
  <c r="M50" i="34"/>
  <c r="H18" i="32"/>
  <c r="V37" i="27"/>
  <c r="F36" i="5" s="1"/>
  <c r="F37" i="5" s="1"/>
  <c r="AG37" i="27"/>
  <c r="AI37" i="27" s="1"/>
  <c r="AA39" i="27"/>
  <c r="AA44" i="27" s="1"/>
  <c r="M119" i="42"/>
  <c r="T33" i="6"/>
  <c r="M223" i="42"/>
  <c r="AI84" i="20"/>
  <c r="AK84" i="20" s="1"/>
  <c r="AH84" i="19"/>
  <c r="X22" i="18"/>
  <c r="F20" i="15"/>
  <c r="M24" i="42"/>
  <c r="M234" i="42"/>
  <c r="V20" i="37"/>
  <c r="AD13" i="24"/>
  <c r="Y43" i="24"/>
  <c r="Y43" i="23" s="1"/>
  <c r="AE21" i="16"/>
  <c r="AD16" i="15" s="1"/>
  <c r="AE21" i="17"/>
  <c r="AF23" i="18"/>
  <c r="AF27" i="18" s="1"/>
  <c r="AH26" i="19"/>
  <c r="AK26" i="20"/>
  <c r="AA19" i="29"/>
  <c r="V17" i="29"/>
  <c r="I20" i="14"/>
  <c r="M130" i="42"/>
  <c r="M45" i="42"/>
  <c r="M31" i="42"/>
  <c r="AH59" i="19"/>
  <c r="AE83" i="16" s="1"/>
  <c r="AE83" i="17"/>
  <c r="Y56" i="24"/>
  <c r="Y56" i="23" s="1"/>
  <c r="AF56" i="23" s="1"/>
  <c r="M36" i="42"/>
  <c r="M51" i="42"/>
  <c r="M32" i="42"/>
  <c r="Y73" i="24"/>
  <c r="K89" i="30"/>
  <c r="M172" i="42"/>
  <c r="M47" i="42"/>
  <c r="M98" i="42"/>
  <c r="AG27" i="22"/>
  <c r="AI27" i="22" s="1"/>
  <c r="AD28" i="22"/>
  <c r="X45" i="18"/>
  <c r="AD32" i="2"/>
  <c r="M141" i="42"/>
  <c r="F16" i="15"/>
  <c r="X18" i="18"/>
  <c r="AC23" i="18"/>
  <c r="AC27" i="18" s="1"/>
  <c r="AI67" i="23"/>
  <c r="AG77" i="24"/>
  <c r="AG84" i="24" s="1"/>
  <c r="AI35" i="20"/>
  <c r="AK35" i="20" s="1"/>
  <c r="AH35" i="19"/>
  <c r="AI98" i="20"/>
  <c r="AK98" i="20" s="1"/>
  <c r="X98" i="20"/>
  <c r="M137" i="42"/>
  <c r="AI62" i="20"/>
  <c r="AK62" i="20" s="1"/>
  <c r="X62" i="20"/>
  <c r="AF70" i="21"/>
  <c r="AF79" i="21" s="1"/>
  <c r="V37" i="29"/>
  <c r="F33" i="6" s="1"/>
  <c r="X24" i="18"/>
  <c r="D22" i="15" s="1"/>
  <c r="AG17" i="22"/>
  <c r="AI17" i="22" s="1"/>
  <c r="M107" i="42"/>
  <c r="X30" i="21"/>
  <c r="X54" i="19" s="1"/>
  <c r="M21" i="42"/>
  <c r="D18" i="32"/>
  <c r="M146" i="42"/>
  <c r="M188" i="42"/>
  <c r="M56" i="42"/>
  <c r="AA14" i="28"/>
  <c r="X77" i="18"/>
  <c r="AI77" i="18"/>
  <c r="AK77" i="18" s="1"/>
  <c r="T24" i="6"/>
  <c r="AD28" i="29"/>
  <c r="AD32" i="29" s="1"/>
  <c r="Y35" i="25"/>
  <c r="I101" i="30"/>
  <c r="Y27" i="25"/>
  <c r="C112" i="30"/>
  <c r="M79" i="42"/>
  <c r="Y42" i="24"/>
  <c r="Y42" i="23" s="1"/>
  <c r="AF42" i="23" s="1"/>
  <c r="M53" i="42"/>
  <c r="M67" i="42"/>
  <c r="AC94" i="23"/>
  <c r="AC98" i="23" s="1"/>
  <c r="AC100" i="23" s="1"/>
  <c r="I26" i="13"/>
  <c r="I27" i="13" s="1"/>
  <c r="V36" i="28"/>
  <c r="Y57" i="25"/>
  <c r="Y75" i="23" s="1"/>
  <c r="X133" i="18"/>
  <c r="V36" i="29"/>
  <c r="M251" i="42"/>
  <c r="AH27" i="19"/>
  <c r="M83" i="42"/>
  <c r="M44" i="42"/>
  <c r="X132" i="18"/>
  <c r="M260" i="42"/>
  <c r="X32" i="18"/>
  <c r="F32" i="15"/>
  <c r="T35" i="5"/>
  <c r="M43" i="42"/>
  <c r="AI47" i="23"/>
  <c r="M134" i="42"/>
  <c r="M57" i="42"/>
  <c r="M22" i="42"/>
  <c r="M242" i="42"/>
  <c r="M100" i="42"/>
  <c r="V49" i="22"/>
  <c r="W103" i="17" s="1"/>
  <c r="AG49" i="22"/>
  <c r="AI49" i="22" s="1"/>
  <c r="M14" i="42"/>
  <c r="O103" i="42"/>
  <c r="M252" i="42"/>
  <c r="M129" i="42"/>
  <c r="F57" i="2"/>
  <c r="AC13" i="18"/>
  <c r="X35" i="21"/>
  <c r="M121" i="42"/>
  <c r="M60" i="42"/>
  <c r="AH95" i="19"/>
  <c r="AJ18" i="25"/>
  <c r="AD41" i="25"/>
  <c r="Y18" i="25"/>
  <c r="X23" i="21"/>
  <c r="X46" i="19" s="1"/>
  <c r="M238" i="42"/>
  <c r="AI42" i="23"/>
  <c r="AL52" i="24"/>
  <c r="AI52" i="23"/>
  <c r="AN52" i="23" s="1"/>
  <c r="AI53" i="20"/>
  <c r="AK53" i="20" s="1"/>
  <c r="X53" i="20"/>
  <c r="M35" i="42"/>
  <c r="M20" i="42"/>
  <c r="AH42" i="19"/>
  <c r="AE64" i="16" s="1"/>
  <c r="AF82" i="20"/>
  <c r="M189" i="42"/>
  <c r="M117" i="42"/>
  <c r="AI91" i="23"/>
  <c r="M101" i="42"/>
  <c r="M152" i="42"/>
  <c r="M164" i="42"/>
  <c r="Y48" i="24"/>
  <c r="Y48" i="23" s="1"/>
  <c r="AF48" i="23" s="1"/>
  <c r="K136" i="30"/>
  <c r="AI59" i="20"/>
  <c r="AK59" i="20" s="1"/>
  <c r="X59" i="20"/>
  <c r="Y32" i="25"/>
  <c r="AJ32" i="25"/>
  <c r="X35" i="18"/>
  <c r="F35" i="15"/>
  <c r="M41" i="42"/>
  <c r="M154" i="42"/>
  <c r="M140" i="42"/>
  <c r="G27" i="9"/>
  <c r="X128" i="18"/>
  <c r="AE103" i="17"/>
  <c r="J25" i="32"/>
  <c r="AH80" i="19"/>
  <c r="M174" i="42"/>
  <c r="I112" i="30"/>
  <c r="M88" i="42"/>
  <c r="M235" i="42"/>
  <c r="AA14" i="27"/>
  <c r="AH52" i="19"/>
  <c r="X25" i="20"/>
  <c r="AI25" i="20"/>
  <c r="AK25" i="20" s="1"/>
  <c r="M109" i="42"/>
  <c r="M120" i="42"/>
  <c r="AI53" i="23"/>
  <c r="AI57" i="23"/>
  <c r="AE103" i="16" s="1"/>
  <c r="AL55" i="24"/>
  <c r="AI55" i="23"/>
  <c r="AN55" i="23" s="1"/>
  <c r="V38" i="22"/>
  <c r="E91" i="30"/>
  <c r="M233" i="42"/>
  <c r="Y37" i="25"/>
  <c r="M147" i="42"/>
  <c r="V40" i="22"/>
  <c r="AG40" i="22"/>
  <c r="AF100" i="20"/>
  <c r="AF107" i="20" s="1"/>
  <c r="AI90" i="20"/>
  <c r="AK90" i="20" s="1"/>
  <c r="AH90" i="19"/>
  <c r="AD24" i="2" s="1"/>
  <c r="V41" i="22"/>
  <c r="Y36" i="25"/>
  <c r="AI70" i="20"/>
  <c r="AK70" i="20" s="1"/>
  <c r="X70" i="20"/>
  <c r="W94" i="17" s="1"/>
  <c r="M166" i="42"/>
  <c r="M236" i="42"/>
  <c r="AK105" i="20"/>
  <c r="AA42" i="3"/>
  <c r="AH107" i="19"/>
  <c r="AD41" i="2" s="1"/>
  <c r="AH61" i="19"/>
  <c r="AA14" i="29"/>
  <c r="M25" i="42"/>
  <c r="AF52" i="21"/>
  <c r="AF56" i="21" s="1"/>
  <c r="AK19" i="21"/>
  <c r="M58" i="42"/>
  <c r="X50" i="21"/>
  <c r="AI69" i="23"/>
  <c r="M63" i="42"/>
  <c r="M95" i="42"/>
  <c r="Y30" i="25"/>
  <c r="E28" i="31"/>
  <c r="AE48" i="16"/>
  <c r="AH48" i="16" s="1"/>
  <c r="AJ48" i="16" s="1"/>
  <c r="AI44" i="18"/>
  <c r="AK44" i="18" s="1"/>
  <c r="AF46" i="18"/>
  <c r="AE48" i="17"/>
  <c r="AH48" i="17" s="1"/>
  <c r="AJ48" i="17" s="1"/>
  <c r="X41" i="21"/>
  <c r="AH49" i="19"/>
  <c r="X52" i="18"/>
  <c r="AI28" i="23"/>
  <c r="AI29" i="23" s="1"/>
  <c r="AG29" i="24"/>
  <c r="M226" i="42"/>
  <c r="M186" i="42"/>
  <c r="M221" i="42"/>
  <c r="M191" i="42"/>
  <c r="X50" i="20"/>
  <c r="AI50" i="20"/>
  <c r="AK50" i="20" s="1"/>
  <c r="M84" i="42"/>
  <c r="X52" i="20"/>
  <c r="AI52" i="20"/>
  <c r="AK52" i="20" s="1"/>
  <c r="V40" i="37"/>
  <c r="M81" i="42"/>
  <c r="AC38" i="18"/>
  <c r="F29" i="15"/>
  <c r="X30" i="18"/>
  <c r="Y72" i="25"/>
  <c r="AD75" i="25"/>
  <c r="S26" i="14"/>
  <c r="U26" i="14" s="1"/>
  <c r="AJ72" i="25"/>
  <c r="V23" i="37"/>
  <c r="G91" i="30"/>
  <c r="AI54" i="23"/>
  <c r="X34" i="18"/>
  <c r="D34" i="15" s="1"/>
  <c r="F34" i="15"/>
  <c r="J17" i="33"/>
  <c r="AH91" i="19"/>
  <c r="M261" i="42"/>
  <c r="T19" i="5"/>
  <c r="J57" i="3"/>
  <c r="AC13" i="20"/>
  <c r="AI13" i="20" s="1"/>
  <c r="AK13" i="20" s="1"/>
  <c r="D122" i="20"/>
  <c r="M92" i="42"/>
  <c r="F25" i="32"/>
  <c r="M40" i="42"/>
  <c r="AI71" i="23"/>
  <c r="M165" i="42"/>
  <c r="M139" i="42"/>
  <c r="V36" i="22"/>
  <c r="AH60" i="19"/>
  <c r="AE84" i="16" s="1"/>
  <c r="Y53" i="25"/>
  <c r="Y71" i="23" s="1"/>
  <c r="X65" i="18"/>
  <c r="AI65" i="18"/>
  <c r="AI56" i="23"/>
  <c r="AE28" i="16"/>
  <c r="M132" i="42"/>
  <c r="M180" i="42"/>
  <c r="Y24" i="25"/>
  <c r="I91" i="30"/>
  <c r="M75" i="42"/>
  <c r="AH77" i="19"/>
  <c r="AI77" i="20"/>
  <c r="AK77" i="20" s="1"/>
  <c r="AD72" i="22"/>
  <c r="AG72" i="22" s="1"/>
  <c r="AH28" i="19"/>
  <c r="AE40" i="16" s="1"/>
  <c r="AD36" i="15" s="1"/>
  <c r="AH115" i="19"/>
  <c r="AF116" i="20"/>
  <c r="M220" i="42"/>
  <c r="X57" i="20"/>
  <c r="AI57" i="20"/>
  <c r="AK57" i="20" s="1"/>
  <c r="AF54" i="18"/>
  <c r="M157" i="42"/>
  <c r="X79" i="18"/>
  <c r="T26" i="5"/>
  <c r="AL72" i="25"/>
  <c r="M61" i="42"/>
  <c r="M72" i="42"/>
  <c r="M48" i="42"/>
  <c r="V17" i="37"/>
  <c r="X77" i="21"/>
  <c r="S33" i="11"/>
  <c r="U33" i="11" s="1"/>
  <c r="M158" i="42"/>
  <c r="M249" i="42"/>
  <c r="AJ61" i="24"/>
  <c r="AL61" i="24" s="1"/>
  <c r="G24" i="14"/>
  <c r="K24" i="14" s="1"/>
  <c r="Y61" i="24"/>
  <c r="Y61" i="23" s="1"/>
  <c r="AF61" i="23" s="1"/>
  <c r="X80" i="20"/>
  <c r="X80" i="19" s="1"/>
  <c r="AI80" i="20"/>
  <c r="AK80" i="20" s="1"/>
  <c r="Y38" i="25"/>
  <c r="AI68" i="23"/>
  <c r="X27" i="21"/>
  <c r="M74" i="42"/>
  <c r="X36" i="21"/>
  <c r="M176" i="42"/>
  <c r="M29" i="42"/>
  <c r="X89" i="18"/>
  <c r="X39" i="21"/>
  <c r="X68" i="19" s="1"/>
  <c r="M167" i="42"/>
  <c r="M241" i="42"/>
  <c r="AI90" i="23"/>
  <c r="AG94" i="24"/>
  <c r="X94" i="18"/>
  <c r="W102" i="17" s="1"/>
  <c r="M219" i="42"/>
  <c r="AI61" i="23"/>
  <c r="M190" i="42"/>
  <c r="M64" i="42"/>
  <c r="AH40" i="26"/>
  <c r="AJ40" i="26" s="1"/>
  <c r="W40" i="26"/>
  <c r="B36" i="5" s="1"/>
  <c r="M71" i="42"/>
  <c r="X21" i="21"/>
  <c r="X44" i="19" s="1"/>
  <c r="AE44" i="19" s="1"/>
  <c r="AI21" i="21"/>
  <c r="M124" i="42"/>
  <c r="M213" i="42"/>
  <c r="X42" i="21"/>
  <c r="AH72" i="19"/>
  <c r="AE96" i="16" s="1"/>
  <c r="AE96" i="17"/>
  <c r="AK72" i="20"/>
  <c r="V37" i="22"/>
  <c r="M49" i="42"/>
  <c r="M224" i="42"/>
  <c r="X88" i="18"/>
  <c r="AI88" i="18"/>
  <c r="AK88" i="18" s="1"/>
  <c r="M240" i="42"/>
  <c r="AL55" i="25"/>
  <c r="X70" i="18"/>
  <c r="M208" i="42"/>
  <c r="M110" i="42"/>
  <c r="X38" i="21"/>
  <c r="X67" i="19" s="1"/>
  <c r="W91" i="16" s="1"/>
  <c r="M82" i="42"/>
  <c r="M161" i="42"/>
  <c r="X49" i="21"/>
  <c r="X79" i="19" s="1"/>
  <c r="W103" i="16" s="1"/>
  <c r="AB103" i="16" s="1"/>
  <c r="AD39" i="29"/>
  <c r="AL33" i="25"/>
  <c r="T25" i="6"/>
  <c r="T26" i="6" s="1"/>
  <c r="AD28" i="28"/>
  <c r="AD32" i="28" s="1"/>
  <c r="M125" i="42"/>
  <c r="M94" i="42"/>
  <c r="Y90" i="24"/>
  <c r="G25" i="14"/>
  <c r="I25" i="14" s="1"/>
  <c r="AD94" i="24"/>
  <c r="I72" i="34"/>
  <c r="M114" i="42"/>
  <c r="K137" i="30"/>
  <c r="M228" i="42"/>
  <c r="M97" i="42"/>
  <c r="M153" i="42"/>
  <c r="M126" i="42"/>
  <c r="AE108" i="17"/>
  <c r="M54" i="42"/>
  <c r="X69" i="18"/>
  <c r="AI69" i="18"/>
  <c r="Y71" i="24"/>
  <c r="M214" i="42"/>
  <c r="C24" i="30"/>
  <c r="X37" i="21"/>
  <c r="M250" i="42"/>
  <c r="X78" i="18"/>
  <c r="O11" i="42"/>
  <c r="M10" i="42"/>
  <c r="M11" i="42" s="1"/>
  <c r="AH34" i="19"/>
  <c r="AE47" i="16" s="1"/>
  <c r="AF36" i="20"/>
  <c r="V39" i="37"/>
  <c r="Y26" i="25"/>
  <c r="AH116" i="19"/>
  <c r="AI114" i="20"/>
  <c r="AK114" i="20" s="1"/>
  <c r="M16" i="42"/>
  <c r="V46" i="22"/>
  <c r="W92" i="17" s="1"/>
  <c r="AH45" i="19"/>
  <c r="M46" i="42"/>
  <c r="V39" i="22"/>
  <c r="M230" i="42"/>
  <c r="AC54" i="18"/>
  <c r="G23" i="9" s="1"/>
  <c r="K23" i="9" s="1"/>
  <c r="X48" i="18"/>
  <c r="T32" i="6"/>
  <c r="AC46" i="18"/>
  <c r="X40" i="18"/>
  <c r="W44" i="17" s="1"/>
  <c r="M30" i="42"/>
  <c r="M222" i="42"/>
  <c r="M19" i="42"/>
  <c r="X51" i="18"/>
  <c r="W55" i="17" s="1"/>
  <c r="AA28" i="29"/>
  <c r="V26" i="29"/>
  <c r="AI42" i="20"/>
  <c r="AK42" i="20" s="1"/>
  <c r="X42" i="20"/>
  <c r="AC82" i="20"/>
  <c r="M185" i="42"/>
  <c r="M181" i="42"/>
  <c r="D45" i="32"/>
  <c r="X58" i="20"/>
  <c r="W82" i="17" s="1"/>
  <c r="AI58" i="20"/>
  <c r="AK58" i="20" s="1"/>
  <c r="X74" i="18"/>
  <c r="G101" i="30"/>
  <c r="M91" i="42"/>
  <c r="AH54" i="19"/>
  <c r="AI54" i="20"/>
  <c r="AK54" i="20" s="1"/>
  <c r="X66" i="20"/>
  <c r="AI66" i="20"/>
  <c r="AK66" i="20" s="1"/>
  <c r="Y45" i="24"/>
  <c r="Y45" i="23" s="1"/>
  <c r="AF45" i="23" s="1"/>
  <c r="V29" i="37"/>
  <c r="M245" i="42"/>
  <c r="AH81" i="19"/>
  <c r="AI44" i="20"/>
  <c r="AK44" i="20" s="1"/>
  <c r="AH44" i="19"/>
  <c r="AI74" i="20"/>
  <c r="AK74" i="20" s="1"/>
  <c r="X74" i="20"/>
  <c r="M112" i="42"/>
  <c r="M258" i="42"/>
  <c r="M173" i="42"/>
  <c r="M18" i="42"/>
  <c r="AL40" i="25"/>
  <c r="M231" i="42"/>
  <c r="M136" i="42"/>
  <c r="X26" i="21"/>
  <c r="M177" i="42"/>
  <c r="M187" i="42"/>
  <c r="X72" i="18"/>
  <c r="I28" i="31"/>
  <c r="X42" i="18"/>
  <c r="W46" i="17" s="1"/>
  <c r="X112" i="18"/>
  <c r="F31" i="2"/>
  <c r="X71" i="20"/>
  <c r="W95" i="17" s="1"/>
  <c r="AI71" i="20"/>
  <c r="AK71" i="20" s="1"/>
  <c r="AE99" i="17"/>
  <c r="AI91" i="18"/>
  <c r="AK91" i="18" s="1"/>
  <c r="G20" i="11"/>
  <c r="K20" i="11" s="1"/>
  <c r="AI17" i="20"/>
  <c r="AK17" i="20" s="1"/>
  <c r="X17" i="20"/>
  <c r="H15" i="3" s="1"/>
  <c r="V32" i="37"/>
  <c r="O209" i="42"/>
  <c r="M207" i="42"/>
  <c r="V22" i="37"/>
  <c r="AH76" i="19"/>
  <c r="AI76" i="20"/>
  <c r="AK76" i="20" s="1"/>
  <c r="M162" i="42"/>
  <c r="AH17" i="19"/>
  <c r="AG59" i="24"/>
  <c r="AI37" i="23"/>
  <c r="AE40" i="17"/>
  <c r="AK36" i="18"/>
  <c r="Y35" i="24"/>
  <c r="Y35" i="23" s="1"/>
  <c r="AD59" i="24"/>
  <c r="G23" i="14" s="1"/>
  <c r="K23" i="14" s="1"/>
  <c r="M113" i="42"/>
  <c r="Y52" i="24"/>
  <c r="Y52" i="23" s="1"/>
  <c r="AF52" i="23" s="1"/>
  <c r="X107" i="18"/>
  <c r="D26" i="2" s="1"/>
  <c r="D27" i="3" s="1"/>
  <c r="F26" i="2"/>
  <c r="AK32" i="18"/>
  <c r="Y55" i="24"/>
  <c r="Y55" i="23" s="1"/>
  <c r="AF55" i="23" s="1"/>
  <c r="Y39" i="25"/>
  <c r="M80" i="42"/>
  <c r="X29" i="21"/>
  <c r="M33" i="42"/>
  <c r="AK64" i="20"/>
  <c r="AE88" i="17"/>
  <c r="AH64" i="19"/>
  <c r="M246" i="42"/>
  <c r="F33" i="2"/>
  <c r="X114" i="18"/>
  <c r="M160" i="42"/>
  <c r="M122" i="42"/>
  <c r="Y53" i="24"/>
  <c r="Y53" i="23" s="1"/>
  <c r="AF53" i="23" s="1"/>
  <c r="X28" i="21"/>
  <c r="AH13" i="19"/>
  <c r="E101" i="30"/>
  <c r="E103" i="30" s="1"/>
  <c r="AA51" i="22"/>
  <c r="AA55" i="22" s="1"/>
  <c r="AA66" i="22" s="1"/>
  <c r="AA76" i="22" s="1"/>
  <c r="V34" i="22"/>
  <c r="AD63" i="22"/>
  <c r="Y50" i="24"/>
  <c r="Y50" i="23" s="1"/>
  <c r="AF50" i="23" s="1"/>
  <c r="M163" i="42"/>
  <c r="M69" i="42"/>
  <c r="AH58" i="19"/>
  <c r="C91" i="30"/>
  <c r="Q72" i="34"/>
  <c r="AL45" i="24"/>
  <c r="AI45" i="23"/>
  <c r="AN45" i="23" s="1"/>
  <c r="M118" i="42"/>
  <c r="Y73" i="25"/>
  <c r="Y92" i="23" s="1"/>
  <c r="S32" i="14"/>
  <c r="U32" i="14" s="1"/>
  <c r="AJ73" i="25"/>
  <c r="AL73" i="25" s="1"/>
  <c r="M90" i="42"/>
  <c r="X47" i="21"/>
  <c r="X77" i="19" s="1"/>
  <c r="M27" i="42"/>
  <c r="AD59" i="25"/>
  <c r="Y49" i="25"/>
  <c r="M93" i="42"/>
  <c r="AC115" i="18"/>
  <c r="G34" i="9" s="1"/>
  <c r="K34" i="9" s="1"/>
  <c r="X106" i="18"/>
  <c r="F25" i="2"/>
  <c r="AI40" i="23"/>
  <c r="AH99" i="19"/>
  <c r="AI99" i="20"/>
  <c r="AK99" i="20" s="1"/>
  <c r="AI13" i="23"/>
  <c r="AI67" i="20"/>
  <c r="AK67" i="20" s="1"/>
  <c r="AH67" i="19"/>
  <c r="Y56" i="25"/>
  <c r="Y74" i="23" s="1"/>
  <c r="X65" i="21"/>
  <c r="X95" i="19" s="1"/>
  <c r="M62" i="42"/>
  <c r="AI81" i="18"/>
  <c r="AK81" i="18" s="1"/>
  <c r="X81" i="18"/>
  <c r="Y25" i="25"/>
  <c r="AE31" i="26"/>
  <c r="T27" i="5"/>
  <c r="AI41" i="23"/>
  <c r="AI44" i="23"/>
  <c r="M87" i="42"/>
  <c r="M151" i="42"/>
  <c r="M76" i="42"/>
  <c r="X27" i="20"/>
  <c r="X27" i="19" s="1"/>
  <c r="H35" i="15" s="1"/>
  <c r="AI27" i="20"/>
  <c r="AK27" i="20" s="1"/>
  <c r="Y40" i="24"/>
  <c r="Y40" i="23" s="1"/>
  <c r="AF40" i="23" s="1"/>
  <c r="Y54" i="25"/>
  <c r="Z42" i="37"/>
  <c r="V36" i="37"/>
  <c r="M59" i="42"/>
  <c r="X33" i="21"/>
  <c r="X62" i="19" s="1"/>
  <c r="M248" i="42"/>
  <c r="M135" i="42"/>
  <c r="AI49" i="23"/>
  <c r="AH94" i="19"/>
  <c r="M171" i="42"/>
  <c r="AE21" i="26"/>
  <c r="T18" i="5"/>
  <c r="M178" i="42"/>
  <c r="AF29" i="20"/>
  <c r="AH21" i="19"/>
  <c r="E24" i="30"/>
  <c r="M127" i="42"/>
  <c r="Y72" i="24"/>
  <c r="Y72" i="23" s="1"/>
  <c r="P29" i="2" s="1"/>
  <c r="E112" i="30"/>
  <c r="M73" i="42"/>
  <c r="M70" i="42"/>
  <c r="X82" i="18"/>
  <c r="M133" i="42"/>
  <c r="M128" i="42"/>
  <c r="M237" i="42"/>
  <c r="M145" i="42"/>
  <c r="AI46" i="20"/>
  <c r="AK46" i="20" s="1"/>
  <c r="AH46" i="19"/>
  <c r="AD29" i="24"/>
  <c r="G22" i="14" s="1"/>
  <c r="K22" i="14" s="1"/>
  <c r="Y28" i="24"/>
  <c r="Y28" i="23" s="1"/>
  <c r="P53" i="15" s="1"/>
  <c r="P56" i="15" s="1"/>
  <c r="AH51" i="19"/>
  <c r="M239" i="42"/>
  <c r="X66" i="18"/>
  <c r="AI72" i="21"/>
  <c r="AK72" i="21" s="1"/>
  <c r="AH102" i="19"/>
  <c r="K14" i="30"/>
  <c r="I24" i="30"/>
  <c r="Y33" i="25"/>
  <c r="AH55" i="19"/>
  <c r="AG45" i="22"/>
  <c r="AI45" i="22" s="1"/>
  <c r="V45" i="22"/>
  <c r="T28" i="5"/>
  <c r="M52" i="42"/>
  <c r="M108" i="42"/>
  <c r="AI35" i="23"/>
  <c r="AG41" i="25"/>
  <c r="AG45" i="25" s="1"/>
  <c r="M232" i="42"/>
  <c r="AI50" i="23"/>
  <c r="G26" i="14"/>
  <c r="K26" i="14" s="1"/>
  <c r="Y91" i="24"/>
  <c r="Y91" i="23" s="1"/>
  <c r="AH50" i="19"/>
  <c r="Y28" i="25"/>
  <c r="D20" i="33"/>
  <c r="M243" i="42"/>
  <c r="AH65" i="19"/>
  <c r="Y31" i="25"/>
  <c r="O215" i="42"/>
  <c r="M212" i="42"/>
  <c r="AH68" i="19"/>
  <c r="AI68" i="20"/>
  <c r="AK68" i="20" s="1"/>
  <c r="AI39" i="23"/>
  <c r="X96" i="18"/>
  <c r="AH25" i="19"/>
  <c r="AE37" i="16" s="1"/>
  <c r="AD33" i="15" s="1"/>
  <c r="M183" i="42"/>
  <c r="M28" i="42"/>
  <c r="M253" i="42"/>
  <c r="M102" i="42"/>
  <c r="X48" i="21"/>
  <c r="X78" i="19" s="1"/>
  <c r="W102" i="16" s="1"/>
  <c r="Y20" i="25"/>
  <c r="V16" i="37"/>
  <c r="Z25" i="37"/>
  <c r="AK69" i="18"/>
  <c r="M159" i="42"/>
  <c r="M16" i="34"/>
  <c r="Y67" i="24"/>
  <c r="AD77" i="24"/>
  <c r="AI72" i="20"/>
  <c r="X72" i="20"/>
  <c r="G112" i="30"/>
  <c r="M155" i="42"/>
  <c r="L17" i="32"/>
  <c r="X130" i="18"/>
  <c r="M37" i="42"/>
  <c r="M175" i="42"/>
  <c r="V30" i="37"/>
  <c r="M39" i="42"/>
  <c r="M116" i="42"/>
  <c r="M115" i="42"/>
  <c r="D25" i="32"/>
  <c r="M89" i="42"/>
  <c r="M179" i="42"/>
  <c r="AI23" i="23"/>
  <c r="AI26" i="23" s="1"/>
  <c r="AG26" i="24"/>
  <c r="R29" i="5"/>
  <c r="X85" i="21"/>
  <c r="X88" i="21" s="1"/>
  <c r="S25" i="11"/>
  <c r="W25" i="11" s="1"/>
  <c r="AI75" i="20"/>
  <c r="AK75" i="20" s="1"/>
  <c r="X75" i="20"/>
  <c r="W99" i="17" s="1"/>
  <c r="AB21" i="15"/>
  <c r="G24" i="30"/>
  <c r="X134" i="18"/>
  <c r="AI65" i="20"/>
  <c r="AK65" i="20" s="1"/>
  <c r="X65" i="20"/>
  <c r="X65" i="19" s="1"/>
  <c r="W89" i="16" s="1"/>
  <c r="AI76" i="23"/>
  <c r="AH47" i="19"/>
  <c r="AI48" i="23"/>
  <c r="M144" i="42"/>
  <c r="AI33" i="18"/>
  <c r="AK33" i="18" s="1"/>
  <c r="AE37" i="17"/>
  <c r="O262" i="42"/>
  <c r="M218" i="42"/>
  <c r="W29" i="26"/>
  <c r="W31" i="26" s="1"/>
  <c r="W35" i="26" s="1"/>
  <c r="AB31" i="26"/>
  <c r="AB35" i="26" s="1"/>
  <c r="M23" i="42"/>
  <c r="M26" i="42"/>
  <c r="Y39" i="24"/>
  <c r="Y39" i="23" s="1"/>
  <c r="AF39" i="23" s="1"/>
  <c r="M78" i="42"/>
  <c r="AB42" i="26"/>
  <c r="W39" i="26"/>
  <c r="M42" i="42"/>
  <c r="AI74" i="23"/>
  <c r="M184" i="42"/>
  <c r="X92" i="18"/>
  <c r="W100" i="17" s="1"/>
  <c r="Y23" i="25"/>
  <c r="M169" i="42"/>
  <c r="AH78" i="19"/>
  <c r="AH70" i="19"/>
  <c r="AH74" i="19"/>
  <c r="AH53" i="19"/>
  <c r="M131" i="42"/>
  <c r="M85" i="42"/>
  <c r="M142" i="42"/>
  <c r="M38" i="42"/>
  <c r="G28" i="31"/>
  <c r="K18" i="31"/>
  <c r="C28" i="31"/>
  <c r="AI36" i="18"/>
  <c r="X36" i="18"/>
  <c r="F36" i="15"/>
  <c r="X67" i="21"/>
  <c r="X97" i="19" s="1"/>
  <c r="X61" i="18"/>
  <c r="W65" i="17" s="1"/>
  <c r="AC97" i="18"/>
  <c r="F18" i="2" s="1"/>
  <c r="M182" i="42"/>
  <c r="X45" i="21"/>
  <c r="V17" i="28"/>
  <c r="AA19" i="28"/>
  <c r="AA32" i="28" s="1"/>
  <c r="AH66" i="19"/>
  <c r="M123" i="42"/>
  <c r="M77" i="42"/>
  <c r="X61" i="20"/>
  <c r="X61" i="19" s="1"/>
  <c r="AE61" i="19" s="1"/>
  <c r="AI61" i="20"/>
  <c r="AK61" i="20" s="1"/>
  <c r="AI73" i="23"/>
  <c r="AH92" i="19"/>
  <c r="AH22" i="19"/>
  <c r="AI22" i="20"/>
  <c r="AK22" i="20" s="1"/>
  <c r="T25" i="5"/>
  <c r="AD28" i="27"/>
  <c r="AD32" i="27" s="1"/>
  <c r="M55" i="42"/>
  <c r="M156" i="42"/>
  <c r="X68" i="21"/>
  <c r="V37" i="37"/>
  <c r="Y55" i="25"/>
  <c r="AG23" i="22"/>
  <c r="AI23" i="22" s="1"/>
  <c r="AD24" i="22"/>
  <c r="AG24" i="22" s="1"/>
  <c r="AI24" i="22" s="1"/>
  <c r="X51" i="20"/>
  <c r="W75" i="17" s="1"/>
  <c r="AI51" i="20"/>
  <c r="AK51" i="20" s="1"/>
  <c r="X99" i="18"/>
  <c r="W108" i="17" s="1"/>
  <c r="F19" i="2"/>
  <c r="G25" i="9"/>
  <c r="K25" i="9" s="1"/>
  <c r="AI72" i="23"/>
  <c r="M254" i="42"/>
  <c r="M247" i="42"/>
  <c r="C156" i="30"/>
  <c r="M138" i="42"/>
  <c r="T36" i="5"/>
  <c r="V50" i="22"/>
  <c r="W104" i="17" s="1"/>
  <c r="M106" i="42"/>
  <c r="O192" i="42"/>
  <c r="M148" i="42"/>
  <c r="AL49" i="25"/>
  <c r="AG59" i="25"/>
  <c r="AG66" i="25" s="1"/>
  <c r="I32" i="13"/>
  <c r="I33" i="13" s="1"/>
  <c r="Y51" i="25"/>
  <c r="Y69" i="23" s="1"/>
  <c r="AH75" i="19"/>
  <c r="AE99" i="16" s="1"/>
  <c r="AH71" i="19"/>
  <c r="AE95" i="16" s="1"/>
  <c r="M21" i="34"/>
  <c r="M256" i="42"/>
  <c r="AD51" i="22"/>
  <c r="AH62" i="19"/>
  <c r="M168" i="42"/>
  <c r="I34" i="10"/>
  <c r="I35" i="10" s="1"/>
  <c r="AB118" i="19"/>
  <c r="X49" i="20"/>
  <c r="AI49" i="20"/>
  <c r="AK49" i="20" s="1"/>
  <c r="X61" i="21"/>
  <c r="AC70" i="21"/>
  <c r="AC79" i="21" s="1"/>
  <c r="AF115" i="18"/>
  <c r="AF121" i="18" s="1"/>
  <c r="G36" i="9"/>
  <c r="I36" i="9" s="1"/>
  <c r="F38" i="2"/>
  <c r="X119" i="18"/>
  <c r="X129" i="18"/>
  <c r="X19" i="18"/>
  <c r="F17" i="15"/>
  <c r="M99" i="42"/>
  <c r="M150" i="42"/>
  <c r="M96" i="42"/>
  <c r="AI113" i="20"/>
  <c r="AK113" i="20" s="1"/>
  <c r="J49" i="3"/>
  <c r="X113" i="20"/>
  <c r="G25" i="11"/>
  <c r="K25" i="11" s="1"/>
  <c r="AC116" i="20"/>
  <c r="M65" i="42"/>
  <c r="M111" i="42"/>
  <c r="M229" i="42"/>
  <c r="AE95" i="17"/>
  <c r="M34" i="42"/>
  <c r="X83" i="18"/>
  <c r="AI43" i="23"/>
  <c r="M15" i="42"/>
  <c r="AK45" i="18"/>
  <c r="AH106" i="19"/>
  <c r="AE130" i="16" s="1"/>
  <c r="X21" i="20"/>
  <c r="X21" i="19" s="1"/>
  <c r="AC29" i="20"/>
  <c r="AI21" i="20"/>
  <c r="AK21" i="20" s="1"/>
  <c r="AI60" i="20"/>
  <c r="AK60" i="20" s="1"/>
  <c r="X60" i="20"/>
  <c r="W84" i="17" s="1"/>
  <c r="M149" i="42"/>
  <c r="X22" i="21"/>
  <c r="X45" i="19" s="1"/>
  <c r="W68" i="16" s="1"/>
  <c r="G33" i="11"/>
  <c r="AI105" i="20"/>
  <c r="J42" i="3"/>
  <c r="T42" i="3" s="1"/>
  <c r="X105" i="20"/>
  <c r="H42" i="3" s="1"/>
  <c r="R42" i="3" s="1"/>
  <c r="M227" i="42"/>
  <c r="AH103" i="19"/>
  <c r="AI73" i="21"/>
  <c r="AE22" i="16"/>
  <c r="AE22" i="17"/>
  <c r="X44" i="21"/>
  <c r="X26" i="20"/>
  <c r="X26" i="19" s="1"/>
  <c r="H34" i="15" s="1"/>
  <c r="AI26" i="20"/>
  <c r="AI47" i="20"/>
  <c r="AK47" i="20" s="1"/>
  <c r="X47" i="20"/>
  <c r="M68" i="42"/>
  <c r="X51" i="21"/>
  <c r="X81" i="19" s="1"/>
  <c r="W105" i="16" s="1"/>
  <c r="X25" i="18"/>
  <c r="D23" i="15" s="1"/>
  <c r="V23" i="15" s="1"/>
  <c r="F23" i="15"/>
  <c r="AI92" i="23"/>
  <c r="M66" i="42"/>
  <c r="M170" i="42"/>
  <c r="AI64" i="20"/>
  <c r="X64" i="20"/>
  <c r="W88" i="17" s="1"/>
  <c r="AD40" i="2"/>
  <c r="M17" i="42"/>
  <c r="M244" i="42"/>
  <c r="G42" i="31"/>
  <c r="AI53" i="18"/>
  <c r="AK53" i="18" s="1"/>
  <c r="AE57" i="17"/>
  <c r="AH57" i="17" s="1"/>
  <c r="AJ57" i="17" s="1"/>
  <c r="AE57" i="16"/>
  <c r="AH57" i="16" s="1"/>
  <c r="AJ57" i="16" s="1"/>
  <c r="AA13" i="22"/>
  <c r="N57" i="2"/>
  <c r="M143" i="42"/>
  <c r="X24" i="21"/>
  <c r="X92" i="20"/>
  <c r="X92" i="19" s="1"/>
  <c r="AI92" i="20"/>
  <c r="AK92" i="20" s="1"/>
  <c r="AC100" i="20"/>
  <c r="G29" i="11" s="1"/>
  <c r="AE41" i="17"/>
  <c r="AH41" i="17" s="1"/>
  <c r="AJ41" i="17" s="1"/>
  <c r="AE41" i="16"/>
  <c r="AD37" i="15" s="1"/>
  <c r="AH37" i="15" s="1"/>
  <c r="AJ37" i="15" s="1"/>
  <c r="AI37" i="18"/>
  <c r="AK37" i="18" s="1"/>
  <c r="X34" i="20"/>
  <c r="W47" i="17" s="1"/>
  <c r="AC36" i="20"/>
  <c r="AI34" i="20"/>
  <c r="AI36" i="20" s="1"/>
  <c r="X28" i="20"/>
  <c r="X28" i="19" s="1"/>
  <c r="W40" i="16" s="1"/>
  <c r="AB40" i="16" s="1"/>
  <c r="AI28" i="20"/>
  <c r="AK28" i="20" s="1"/>
  <c r="M257" i="42"/>
  <c r="V37" i="28"/>
  <c r="B33" i="6" s="1"/>
  <c r="AD26" i="24"/>
  <c r="Y23" i="24"/>
  <c r="Y26" i="24" s="1"/>
  <c r="AC52" i="21"/>
  <c r="AC56" i="21" s="1"/>
  <c r="X19" i="21"/>
  <c r="AI19" i="21"/>
  <c r="M225" i="42"/>
  <c r="M255" i="42"/>
  <c r="H25" i="32"/>
  <c r="AB38" i="15"/>
  <c r="AF38" i="18"/>
  <c r="AD19" i="2"/>
  <c r="F17" i="2"/>
  <c r="D50" i="15"/>
  <c r="W52" i="17"/>
  <c r="W52" i="16"/>
  <c r="N18" i="2"/>
  <c r="G24" i="12"/>
  <c r="W28" i="16"/>
  <c r="Y90" i="23"/>
  <c r="W121" i="17"/>
  <c r="D31" i="2"/>
  <c r="D32" i="3" s="1"/>
  <c r="K30" i="11"/>
  <c r="I30" i="11"/>
  <c r="D25" i="2"/>
  <c r="W115" i="17"/>
  <c r="F32" i="6"/>
  <c r="F34" i="6" s="1"/>
  <c r="Y73" i="23"/>
  <c r="W69" i="17"/>
  <c r="W69" i="16"/>
  <c r="W81" i="17"/>
  <c r="X57" i="19"/>
  <c r="W81" i="16" s="1"/>
  <c r="W122" i="17"/>
  <c r="H33" i="3"/>
  <c r="X34" i="19"/>
  <c r="X36" i="19" s="1"/>
  <c r="X25" i="19"/>
  <c r="W37" i="17"/>
  <c r="AB37" i="17" s="1"/>
  <c r="D29" i="15"/>
  <c r="D41" i="15"/>
  <c r="P32" i="2"/>
  <c r="AF75" i="23"/>
  <c r="G22" i="9"/>
  <c r="F16" i="2"/>
  <c r="W97" i="17"/>
  <c r="D36" i="15"/>
  <c r="G21" i="14"/>
  <c r="H49" i="3"/>
  <c r="B32" i="6"/>
  <c r="G21" i="9"/>
  <c r="F15" i="2"/>
  <c r="AD29" i="2"/>
  <c r="W64" i="17"/>
  <c r="W32" i="11"/>
  <c r="G32" i="10"/>
  <c r="K32" i="10" s="1"/>
  <c r="U32" i="11"/>
  <c r="W33" i="11"/>
  <c r="W127" i="16"/>
  <c r="H37" i="2"/>
  <c r="AE103" i="19"/>
  <c r="AB35" i="17"/>
  <c r="AH35" i="17" s="1"/>
  <c r="AJ35" i="17" s="1"/>
  <c r="V31" i="15"/>
  <c r="P19" i="2" l="1"/>
  <c r="AE88" i="16"/>
  <c r="W67" i="16"/>
  <c r="AI23" i="18"/>
  <c r="AK23" i="18" s="1"/>
  <c r="I24" i="14"/>
  <c r="W78" i="16"/>
  <c r="AI31" i="23"/>
  <c r="X135" i="18"/>
  <c r="W140" i="17" s="1"/>
  <c r="F50" i="2"/>
  <c r="F49" i="2"/>
  <c r="X131" i="18"/>
  <c r="W139" i="17" s="1"/>
  <c r="D50" i="2"/>
  <c r="W77" i="17"/>
  <c r="X42" i="19"/>
  <c r="W64" i="16" s="1"/>
  <c r="W46" i="16"/>
  <c r="I103" i="30"/>
  <c r="W100" i="16"/>
  <c r="D43" i="15"/>
  <c r="W90" i="17"/>
  <c r="W26" i="14"/>
  <c r="D53" i="15"/>
  <c r="AE55" i="16"/>
  <c r="AD31" i="24"/>
  <c r="X50" i="19"/>
  <c r="W74" i="16" s="1"/>
  <c r="X52" i="19"/>
  <c r="AE52" i="19" s="1"/>
  <c r="W86" i="17"/>
  <c r="I25" i="11"/>
  <c r="Y23" i="23"/>
  <c r="W44" i="16" s="1"/>
  <c r="W42" i="26"/>
  <c r="X51" i="19"/>
  <c r="W75" i="16" s="1"/>
  <c r="X17" i="19"/>
  <c r="AE17" i="19" s="1"/>
  <c r="S23" i="11"/>
  <c r="U23" i="11" s="1"/>
  <c r="W28" i="17"/>
  <c r="X47" i="19"/>
  <c r="W70" i="16" s="1"/>
  <c r="X23" i="18"/>
  <c r="X27" i="18" s="1"/>
  <c r="D14" i="2" s="1"/>
  <c r="AD48" i="2"/>
  <c r="AE139" i="16" s="1"/>
  <c r="W38" i="16"/>
  <c r="AF72" i="23"/>
  <c r="R19" i="2"/>
  <c r="R32" i="2"/>
  <c r="AH40" i="16"/>
  <c r="AJ40" i="16" s="1"/>
  <c r="K25" i="14"/>
  <c r="AD30" i="2"/>
  <c r="P31" i="2"/>
  <c r="V39" i="29"/>
  <c r="AD44" i="29"/>
  <c r="Y75" i="25"/>
  <c r="AL41" i="25"/>
  <c r="Y29" i="23"/>
  <c r="I23" i="14"/>
  <c r="I23" i="9"/>
  <c r="Y94" i="24"/>
  <c r="AF28" i="23"/>
  <c r="AF29" i="23" s="1"/>
  <c r="X82" i="20"/>
  <c r="X116" i="20"/>
  <c r="X115" i="18"/>
  <c r="X121" i="18" s="1"/>
  <c r="AF56" i="18"/>
  <c r="AF101" i="18" s="1"/>
  <c r="AF124" i="18" s="1"/>
  <c r="X49" i="19"/>
  <c r="W73" i="16" s="1"/>
  <c r="AI116" i="20"/>
  <c r="W73" i="17"/>
  <c r="AD14" i="2"/>
  <c r="AE131" i="17"/>
  <c r="G21" i="11"/>
  <c r="K21" i="11" s="1"/>
  <c r="G22" i="11"/>
  <c r="I22" i="11" s="1"/>
  <c r="AD37" i="2"/>
  <c r="J37" i="2"/>
  <c r="W131" i="17"/>
  <c r="AB131" i="17" s="1"/>
  <c r="W40" i="17"/>
  <c r="AB40" i="17" s="1"/>
  <c r="AH40" i="17" s="1"/>
  <c r="AJ40" i="17" s="1"/>
  <c r="W27" i="17"/>
  <c r="H19" i="3"/>
  <c r="W39" i="17"/>
  <c r="H31" i="2"/>
  <c r="H26" i="2"/>
  <c r="AI100" i="20"/>
  <c r="X70" i="19"/>
  <c r="W94" i="16" s="1"/>
  <c r="X100" i="20"/>
  <c r="X107" i="20" s="1"/>
  <c r="AD36" i="2"/>
  <c r="G23" i="11"/>
  <c r="I23" i="11" s="1"/>
  <c r="W89" i="17"/>
  <c r="H29" i="2"/>
  <c r="H16" i="2"/>
  <c r="AD26" i="2"/>
  <c r="W70" i="17"/>
  <c r="AD28" i="2"/>
  <c r="AI94" i="23"/>
  <c r="G25" i="10"/>
  <c r="AB47" i="26"/>
  <c r="AG31" i="24"/>
  <c r="K36" i="9"/>
  <c r="V25" i="37"/>
  <c r="D48" i="32"/>
  <c r="G103" i="30"/>
  <c r="AA32" i="29"/>
  <c r="Y77" i="24"/>
  <c r="Y84" i="24" s="1"/>
  <c r="AF82" i="21"/>
  <c r="AK100" i="20"/>
  <c r="U25" i="11"/>
  <c r="AD55" i="15"/>
  <c r="AH55" i="15" s="1"/>
  <c r="AJ55" i="15" s="1"/>
  <c r="AD31" i="2"/>
  <c r="I21" i="11"/>
  <c r="W86" i="16"/>
  <c r="AD45" i="15"/>
  <c r="AI77" i="23"/>
  <c r="AI84" i="23" s="1"/>
  <c r="AH82" i="19"/>
  <c r="V42" i="37"/>
  <c r="W47" i="26"/>
  <c r="AE35" i="26"/>
  <c r="Y59" i="25"/>
  <c r="Y66" i="25" s="1"/>
  <c r="AJ94" i="24"/>
  <c r="AC82" i="21"/>
  <c r="X52" i="21"/>
  <c r="X56" i="21" s="1"/>
  <c r="AC38" i="20"/>
  <c r="AC86" i="20" s="1"/>
  <c r="X36" i="20"/>
  <c r="AK36" i="20"/>
  <c r="X38" i="18"/>
  <c r="D15" i="2" s="1"/>
  <c r="I26" i="14"/>
  <c r="I22" i="14"/>
  <c r="B34" i="6"/>
  <c r="AD42" i="3"/>
  <c r="AF42" i="3" s="1"/>
  <c r="M262" i="42"/>
  <c r="M103" i="42"/>
  <c r="M215" i="42"/>
  <c r="M192" i="42"/>
  <c r="O265" i="42"/>
  <c r="V39" i="28"/>
  <c r="Y41" i="25"/>
  <c r="Y45" i="25" s="1"/>
  <c r="AG69" i="25"/>
  <c r="Y29" i="24"/>
  <c r="Y31" i="24" s="1"/>
  <c r="V51" i="22"/>
  <c r="V55" i="22" s="1"/>
  <c r="V66" i="22" s="1"/>
  <c r="V76" i="22" s="1"/>
  <c r="AF38" i="20"/>
  <c r="AF86" i="20" s="1"/>
  <c r="AF110" i="20" s="1"/>
  <c r="AF120" i="20" s="1"/>
  <c r="AF122" i="20" s="1"/>
  <c r="AK116" i="20"/>
  <c r="AK34" i="20"/>
  <c r="AC107" i="20"/>
  <c r="AI107" i="20" s="1"/>
  <c r="X46" i="18"/>
  <c r="D16" i="2" s="1"/>
  <c r="X97" i="18"/>
  <c r="D18" i="2" s="1"/>
  <c r="D19" i="3" s="1"/>
  <c r="X54" i="18"/>
  <c r="D17" i="2" s="1"/>
  <c r="D18" i="3" s="1"/>
  <c r="AC121" i="18"/>
  <c r="AH37" i="17"/>
  <c r="AJ37" i="17" s="1"/>
  <c r="W32" i="14"/>
  <c r="I34" i="9"/>
  <c r="V31" i="37"/>
  <c r="V33" i="37" s="1"/>
  <c r="Z33" i="37"/>
  <c r="Z44" i="37" s="1"/>
  <c r="L18" i="2"/>
  <c r="B35" i="5"/>
  <c r="B37" i="5" s="1"/>
  <c r="X58" i="19"/>
  <c r="W82" i="16" s="1"/>
  <c r="W65" i="16"/>
  <c r="G24" i="9"/>
  <c r="AI82" i="20"/>
  <c r="AK82" i="20" s="1"/>
  <c r="B28" i="5"/>
  <c r="B29" i="5" s="1"/>
  <c r="X75" i="19"/>
  <c r="W99" i="16" s="1"/>
  <c r="X66" i="19"/>
  <c r="W90" i="16" s="1"/>
  <c r="W56" i="17"/>
  <c r="W58" i="17" s="1"/>
  <c r="D54" i="15"/>
  <c r="W56" i="16"/>
  <c r="D16" i="15"/>
  <c r="W21" i="17"/>
  <c r="W21" i="16"/>
  <c r="W39" i="16"/>
  <c r="D35" i="15"/>
  <c r="V35" i="15" s="1"/>
  <c r="AD45" i="25"/>
  <c r="S23" i="14"/>
  <c r="S30" i="14"/>
  <c r="AD66" i="25"/>
  <c r="W78" i="17"/>
  <c r="AE106" i="19"/>
  <c r="H40" i="2"/>
  <c r="W119" i="16"/>
  <c r="AE28" i="19"/>
  <c r="H36" i="15"/>
  <c r="V36" i="15" s="1"/>
  <c r="D38" i="2"/>
  <c r="D39" i="3" s="1"/>
  <c r="W128" i="16"/>
  <c r="W128" i="17"/>
  <c r="AE98" i="16"/>
  <c r="AD33" i="2"/>
  <c r="W123" i="17"/>
  <c r="W123" i="16"/>
  <c r="AB123" i="16" s="1"/>
  <c r="D33" i="2"/>
  <c r="D34" i="3" s="1"/>
  <c r="AA17" i="3"/>
  <c r="W83" i="17"/>
  <c r="AB83" i="17" s="1"/>
  <c r="AH83" i="17" s="1"/>
  <c r="AJ83" i="17" s="1"/>
  <c r="X59" i="19"/>
  <c r="D46" i="15"/>
  <c r="W49" i="17"/>
  <c r="W50" i="17" s="1"/>
  <c r="W49" i="16"/>
  <c r="W108" i="16"/>
  <c r="M209" i="42"/>
  <c r="X71" i="19"/>
  <c r="W95" i="16" s="1"/>
  <c r="AD25" i="2"/>
  <c r="X98" i="19"/>
  <c r="AF43" i="23"/>
  <c r="W79" i="16"/>
  <c r="AD38" i="2"/>
  <c r="AE128" i="16"/>
  <c r="AE21" i="19"/>
  <c r="H29" i="15"/>
  <c r="W96" i="17"/>
  <c r="AB96" i="17" s="1"/>
  <c r="AH96" i="17" s="1"/>
  <c r="AJ96" i="17" s="1"/>
  <c r="X72" i="19"/>
  <c r="W74" i="17"/>
  <c r="X53" i="19"/>
  <c r="W77" i="16" s="1"/>
  <c r="W116" i="17"/>
  <c r="W38" i="17"/>
  <c r="D19" i="2"/>
  <c r="D20" i="3" s="1"/>
  <c r="X60" i="19"/>
  <c r="W84" i="16" s="1"/>
  <c r="X29" i="20"/>
  <c r="AD30" i="22"/>
  <c r="AD55" i="22" s="1"/>
  <c r="AD66" i="22" s="1"/>
  <c r="X64" i="19"/>
  <c r="W88" i="16" s="1"/>
  <c r="W22" i="17"/>
  <c r="AB22" i="17" s="1"/>
  <c r="D17" i="15"/>
  <c r="W22" i="16"/>
  <c r="AB22" i="16" s="1"/>
  <c r="AI29" i="20"/>
  <c r="AI38" i="20" s="1"/>
  <c r="AD84" i="24"/>
  <c r="G30" i="14"/>
  <c r="W98" i="17"/>
  <c r="X74" i="19"/>
  <c r="W98" i="16" s="1"/>
  <c r="W104" i="16"/>
  <c r="W33" i="17"/>
  <c r="W33" i="16"/>
  <c r="K27" i="9"/>
  <c r="I27" i="9"/>
  <c r="AF74" i="23"/>
  <c r="X107" i="19"/>
  <c r="S29" i="11"/>
  <c r="X91" i="19"/>
  <c r="X70" i="21"/>
  <c r="X79" i="21" s="1"/>
  <c r="AF69" i="23"/>
  <c r="P26" i="2"/>
  <c r="Y67" i="23"/>
  <c r="P50" i="2"/>
  <c r="AF92" i="23"/>
  <c r="W76" i="17"/>
  <c r="F25" i="6"/>
  <c r="F26" i="6" s="1"/>
  <c r="V28" i="29"/>
  <c r="W72" i="16"/>
  <c r="W72" i="17"/>
  <c r="W101" i="17"/>
  <c r="W101" i="16"/>
  <c r="W97" i="16"/>
  <c r="X115" i="19"/>
  <c r="P49" i="2"/>
  <c r="AF91" i="23"/>
  <c r="W85" i="16"/>
  <c r="W85" i="17"/>
  <c r="W92" i="16"/>
  <c r="V19" i="29"/>
  <c r="F18" i="6"/>
  <c r="F19" i="6" s="1"/>
  <c r="W36" i="16"/>
  <c r="W36" i="17"/>
  <c r="D32" i="15"/>
  <c r="W116" i="16"/>
  <c r="H27" i="3"/>
  <c r="H35" i="3" s="1"/>
  <c r="H43" i="3" s="1"/>
  <c r="W47" i="16"/>
  <c r="W121" i="16"/>
  <c r="K33" i="11"/>
  <c r="I33" i="11"/>
  <c r="B18" i="6"/>
  <c r="V19" i="28"/>
  <c r="V32" i="28" s="1"/>
  <c r="W55" i="16"/>
  <c r="W25" i="17"/>
  <c r="D20" i="15"/>
  <c r="W25" i="16"/>
  <c r="H44" i="15"/>
  <c r="V44" i="15" s="1"/>
  <c r="P30" i="2"/>
  <c r="W120" i="16"/>
  <c r="AF73" i="23"/>
  <c r="W118" i="16"/>
  <c r="AF71" i="23"/>
  <c r="P28" i="2"/>
  <c r="D26" i="3"/>
  <c r="I24" i="12"/>
  <c r="K24" i="12"/>
  <c r="G27" i="12"/>
  <c r="G37" i="12" s="1"/>
  <c r="AC56" i="18"/>
  <c r="AC101" i="18" s="1"/>
  <c r="G20" i="9"/>
  <c r="F14" i="2"/>
  <c r="K21" i="14"/>
  <c r="I21" i="14"/>
  <c r="K22" i="9"/>
  <c r="I22" i="9"/>
  <c r="Y26" i="23"/>
  <c r="P41" i="15"/>
  <c r="P47" i="15" s="1"/>
  <c r="W37" i="16"/>
  <c r="AE25" i="19"/>
  <c r="H33" i="15"/>
  <c r="X29" i="19"/>
  <c r="K29" i="11"/>
  <c r="G35" i="11"/>
  <c r="I29" i="11"/>
  <c r="AF90" i="23"/>
  <c r="P48" i="2"/>
  <c r="I21" i="9"/>
  <c r="K21" i="9"/>
  <c r="Y94" i="23"/>
  <c r="AE23" i="19"/>
  <c r="H14" i="2" l="1"/>
  <c r="W23" i="11"/>
  <c r="S26" i="11"/>
  <c r="H22" i="15"/>
  <c r="D47" i="15"/>
  <c r="W142" i="17"/>
  <c r="D56" i="15"/>
  <c r="D49" i="2"/>
  <c r="W76" i="16"/>
  <c r="AH131" i="17"/>
  <c r="AJ131" i="17" s="1"/>
  <c r="R49" i="2"/>
  <c r="R50" i="2"/>
  <c r="R30" i="2"/>
  <c r="Y77" i="23"/>
  <c r="Y84" i="23" s="1"/>
  <c r="G26" i="11"/>
  <c r="G39" i="11" s="1"/>
  <c r="P17" i="2"/>
  <c r="R29" i="2"/>
  <c r="R31" i="2"/>
  <c r="R28" i="2"/>
  <c r="R26" i="2"/>
  <c r="Y69" i="25"/>
  <c r="Y79" i="25" s="1"/>
  <c r="X82" i="21"/>
  <c r="X92" i="21" s="1"/>
  <c r="AK86" i="20"/>
  <c r="K22" i="11"/>
  <c r="K23" i="11"/>
  <c r="H17" i="3"/>
  <c r="H16" i="3"/>
  <c r="AE115" i="19"/>
  <c r="W115" i="16"/>
  <c r="V44" i="37"/>
  <c r="V44" i="28"/>
  <c r="AF94" i="23"/>
  <c r="AL94" i="23" s="1"/>
  <c r="AK107" i="20"/>
  <c r="AC124" i="18"/>
  <c r="W50" i="16"/>
  <c r="D38" i="15"/>
  <c r="D34" i="2"/>
  <c r="D42" i="2" s="1"/>
  <c r="H49" i="2"/>
  <c r="W42" i="17"/>
  <c r="P51" i="2"/>
  <c r="W58" i="16"/>
  <c r="W106" i="17"/>
  <c r="M265" i="42"/>
  <c r="AK38" i="20"/>
  <c r="X82" i="19"/>
  <c r="X56" i="18"/>
  <c r="X101" i="18" s="1"/>
  <c r="X124" i="18" s="1"/>
  <c r="W124" i="17"/>
  <c r="W133" i="17" s="1"/>
  <c r="V19" i="2"/>
  <c r="AD69" i="25"/>
  <c r="AD79" i="25" s="1"/>
  <c r="AC110" i="20"/>
  <c r="AC120" i="20" s="1"/>
  <c r="AC122" i="20" s="1"/>
  <c r="AK29" i="20"/>
  <c r="X38" i="20"/>
  <c r="X86" i="20" s="1"/>
  <c r="X110" i="20" s="1"/>
  <c r="X120" i="20" s="1"/>
  <c r="X118" i="19"/>
  <c r="H32" i="2"/>
  <c r="W122" i="16"/>
  <c r="U23" i="14"/>
  <c r="S27" i="14"/>
  <c r="W23" i="14"/>
  <c r="I24" i="9"/>
  <c r="K24" i="9"/>
  <c r="X100" i="19"/>
  <c r="X109" i="19" s="1"/>
  <c r="AE91" i="19"/>
  <c r="H25" i="2"/>
  <c r="I30" i="14"/>
  <c r="K30" i="14"/>
  <c r="G33" i="14"/>
  <c r="AB21" i="16"/>
  <c r="W26" i="16"/>
  <c r="F29" i="6"/>
  <c r="F39" i="6" s="1"/>
  <c r="U29" i="11"/>
  <c r="S35" i="11"/>
  <c r="S39" i="11" s="1"/>
  <c r="W29" i="11"/>
  <c r="L18" i="6"/>
  <c r="B19" i="6"/>
  <c r="B29" i="6" s="1"/>
  <c r="B39" i="6" s="1"/>
  <c r="V32" i="29"/>
  <c r="V44" i="29" s="1"/>
  <c r="AI86" i="20"/>
  <c r="W83" i="16"/>
  <c r="AB83" i="16" s="1"/>
  <c r="AH83" i="16" s="1"/>
  <c r="AJ83" i="16" s="1"/>
  <c r="AE59" i="19"/>
  <c r="AK59" i="19" s="1"/>
  <c r="AM59" i="19" s="1"/>
  <c r="AK28" i="19"/>
  <c r="AM28" i="19" s="1"/>
  <c r="J36" i="15"/>
  <c r="X36" i="15" s="1"/>
  <c r="AH36" i="15" s="1"/>
  <c r="AJ36" i="15" s="1"/>
  <c r="AB21" i="17"/>
  <c r="W26" i="17"/>
  <c r="W30" i="17" s="1"/>
  <c r="V16" i="15"/>
  <c r="D21" i="15"/>
  <c r="D25" i="15" s="1"/>
  <c r="H41" i="2"/>
  <c r="W131" i="16"/>
  <c r="J40" i="2"/>
  <c r="AK106" i="19"/>
  <c r="AM106" i="19" s="1"/>
  <c r="AE72" i="19"/>
  <c r="AK72" i="19" s="1"/>
  <c r="AM72" i="19" s="1"/>
  <c r="W96" i="16"/>
  <c r="AB96" i="16" s="1"/>
  <c r="AH96" i="16" s="1"/>
  <c r="AJ96" i="16" s="1"/>
  <c r="P24" i="2"/>
  <c r="AF67" i="23"/>
  <c r="W114" i="16"/>
  <c r="S33" i="14"/>
  <c r="W30" i="14"/>
  <c r="U30" i="14"/>
  <c r="H47" i="15"/>
  <c r="AB37" i="16"/>
  <c r="AH37" i="16" s="1"/>
  <c r="AJ37" i="16" s="1"/>
  <c r="W42" i="16"/>
  <c r="I20" i="9"/>
  <c r="K20" i="9"/>
  <c r="P16" i="2"/>
  <c r="Y31" i="23"/>
  <c r="V33" i="15"/>
  <c r="H38" i="15"/>
  <c r="H15" i="2"/>
  <c r="X38" i="19"/>
  <c r="AK25" i="19"/>
  <c r="AM25" i="19" s="1"/>
  <c r="J33" i="15"/>
  <c r="X33" i="15" s="1"/>
  <c r="AH33" i="15" s="1"/>
  <c r="AJ33" i="15" s="1"/>
  <c r="AK23" i="19"/>
  <c r="AM23" i="19" s="1"/>
  <c r="J31" i="15"/>
  <c r="AH35" i="16"/>
  <c r="AJ35" i="16" s="1"/>
  <c r="D58" i="15" l="1"/>
  <c r="R24" i="2"/>
  <c r="AI110" i="20"/>
  <c r="AI120" i="20" s="1"/>
  <c r="H18" i="2"/>
  <c r="J49" i="2"/>
  <c r="J25" i="2"/>
  <c r="X86" i="19"/>
  <c r="X112" i="19" s="1"/>
  <c r="X122" i="19" s="1"/>
  <c r="W60" i="17"/>
  <c r="W110" i="17" s="1"/>
  <c r="W136" i="17" s="1"/>
  <c r="W146" i="17" s="1"/>
  <c r="W124" i="16"/>
  <c r="W133" i="16" s="1"/>
  <c r="AB26" i="16"/>
  <c r="W30" i="16"/>
  <c r="W60" i="16" s="1"/>
  <c r="S37" i="14"/>
  <c r="U37" i="14" s="1"/>
  <c r="AE73" i="17"/>
  <c r="AK110" i="20" l="1"/>
  <c r="AI122" i="20"/>
  <c r="AK122" i="20" s="1"/>
  <c r="AK120" i="20"/>
  <c r="AB73" i="17"/>
  <c r="AH73" i="17" s="1"/>
  <c r="AJ73" i="17" s="1"/>
  <c r="AE73" i="16" l="1"/>
  <c r="AE49" i="19"/>
  <c r="AK49" i="19" s="1"/>
  <c r="AM49" i="19" s="1"/>
  <c r="AB73" i="16"/>
  <c r="AH73" i="16" l="1"/>
  <c r="AJ73" i="16" s="1"/>
  <c r="V13" i="15" l="1"/>
  <c r="R13" i="15"/>
  <c r="P13" i="15"/>
  <c r="N13" i="15"/>
  <c r="L13" i="15"/>
  <c r="J13" i="15"/>
  <c r="H13" i="15"/>
  <c r="AD12" i="15"/>
  <c r="X12" i="15"/>
  <c r="R12" i="15"/>
  <c r="N12" i="15"/>
  <c r="J12" i="15"/>
  <c r="AJ54" i="24" l="1"/>
  <c r="AL54" i="24" s="1"/>
  <c r="AJ37" i="25"/>
  <c r="AL37" i="25" s="1"/>
  <c r="AL54" i="23" l="1"/>
  <c r="AN54" i="23" s="1"/>
  <c r="E22" i="8" l="1"/>
  <c r="O32" i="10"/>
  <c r="AL51" i="25"/>
  <c r="AL38" i="25"/>
  <c r="AL36" i="25"/>
  <c r="AL35" i="25"/>
  <c r="AL31" i="25"/>
  <c r="AL32" i="25"/>
  <c r="AL28" i="25"/>
  <c r="AL30" i="25"/>
  <c r="AL23" i="25"/>
  <c r="AL24" i="25"/>
  <c r="AL25" i="25"/>
  <c r="AL26" i="25"/>
  <c r="AL27" i="25"/>
  <c r="AL22" i="25"/>
  <c r="AL20" i="25"/>
  <c r="AL18" i="25"/>
  <c r="AL40" i="24"/>
  <c r="AL23" i="24"/>
  <c r="AN23" i="23"/>
  <c r="AK27" i="21"/>
  <c r="AK28" i="21"/>
  <c r="AK29" i="21"/>
  <c r="AK30" i="21"/>
  <c r="AK26" i="21"/>
  <c r="AK22" i="21"/>
  <c r="AK23" i="21"/>
  <c r="AK24" i="21"/>
  <c r="E32" i="7" l="1"/>
  <c r="V54" i="15"/>
  <c r="V53" i="15"/>
  <c r="V52" i="15"/>
  <c r="V51" i="15"/>
  <c r="V50" i="15"/>
  <c r="N47" i="15"/>
  <c r="V46" i="15"/>
  <c r="V43" i="15"/>
  <c r="V42" i="15"/>
  <c r="V41" i="15"/>
  <c r="V34" i="15"/>
  <c r="V32" i="15"/>
  <c r="V30" i="15"/>
  <c r="V28" i="15"/>
  <c r="V24" i="15"/>
  <c r="R25" i="15"/>
  <c r="P25" i="15"/>
  <c r="N25" i="15"/>
  <c r="V56" i="15" l="1"/>
  <c r="V47" i="15"/>
  <c r="N58" i="15"/>
  <c r="AE42" i="26" l="1"/>
  <c r="F19" i="15" l="1"/>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40" i="43"/>
  <c r="B42" i="43" l="1"/>
  <c r="B44" i="43" s="1"/>
  <c r="D12" i="43" s="1"/>
  <c r="AL55" i="23" l="1"/>
  <c r="AJ55" i="24" l="1"/>
  <c r="AI49" i="21" l="1"/>
  <c r="AK49" i="21" s="1"/>
  <c r="AD76" i="22" l="1"/>
  <c r="F72" i="22" l="1"/>
  <c r="F76" i="22" l="1"/>
  <c r="G25" i="13" l="1"/>
  <c r="G40" i="7"/>
  <c r="AN40" i="23" l="1"/>
  <c r="AJ23" i="25"/>
  <c r="AJ40" i="24"/>
  <c r="AL40" i="23" l="1"/>
  <c r="AA34" i="3" l="1"/>
  <c r="AI92" i="18" l="1"/>
  <c r="AK92" i="18" s="1"/>
  <c r="AI93" i="18"/>
  <c r="AK93" i="18" s="1"/>
  <c r="AE104" i="17"/>
  <c r="AE68" i="17"/>
  <c r="AG50" i="22" l="1"/>
  <c r="AI50" i="22" s="1"/>
  <c r="AG34" i="22"/>
  <c r="AI34" i="22" s="1"/>
  <c r="AE100" i="17" l="1"/>
  <c r="AN48" i="23" l="1"/>
  <c r="AJ31" i="25"/>
  <c r="AJ48" i="24"/>
  <c r="AL48" i="24" s="1"/>
  <c r="AL48" i="23" l="1"/>
  <c r="AL23" i="23" l="1"/>
  <c r="A39" i="13" l="1"/>
  <c r="A41" i="11"/>
  <c r="A41" i="10"/>
  <c r="A49" i="9"/>
  <c r="AL58" i="25" l="1"/>
  <c r="AE27" i="17"/>
  <c r="AE28" i="17"/>
  <c r="AE78" i="17"/>
  <c r="AE77" i="17"/>
  <c r="AE76" i="17"/>
  <c r="AE75" i="17"/>
  <c r="AE74" i="17"/>
  <c r="AE72" i="17"/>
  <c r="AE72" i="16"/>
  <c r="AG41" i="22"/>
  <c r="AI41" i="22" s="1"/>
  <c r="AI40" i="22"/>
  <c r="AG39" i="22"/>
  <c r="AI39" i="22" s="1"/>
  <c r="AG38" i="22"/>
  <c r="AI38" i="22" s="1"/>
  <c r="AG36" i="22"/>
  <c r="AI36" i="22" s="1"/>
  <c r="AE56" i="17"/>
  <c r="AE55" i="17"/>
  <c r="AE56" i="16"/>
  <c r="AE54" i="16"/>
  <c r="AE53" i="16"/>
  <c r="AE100" i="16"/>
  <c r="AE76" i="16"/>
  <c r="AE75" i="16"/>
  <c r="AE68" i="16"/>
  <c r="I20" i="11" l="1"/>
  <c r="G33" i="8"/>
  <c r="AD23" i="15"/>
  <c r="AH23" i="15" s="1"/>
  <c r="AJ23" i="15" s="1"/>
  <c r="AD52" i="15"/>
  <c r="AH52" i="15" s="1"/>
  <c r="AJ52" i="15" s="1"/>
  <c r="AD54" i="15"/>
  <c r="AD51" i="15"/>
  <c r="AH51" i="15" s="1"/>
  <c r="AJ51" i="15" s="1"/>
  <c r="AK54" i="21"/>
  <c r="AJ92" i="24"/>
  <c r="AL92" i="24" s="1"/>
  <c r="AE74" i="16"/>
  <c r="AE77" i="16"/>
  <c r="AE78" i="16"/>
  <c r="AG37" i="22"/>
  <c r="AI37" i="22" s="1"/>
  <c r="AI31" i="21"/>
  <c r="AK31" i="21" s="1"/>
  <c r="AH54" i="15" l="1"/>
  <c r="AJ54" i="15" s="1"/>
  <c r="G32" i="13"/>
  <c r="G31" i="13"/>
  <c r="G24" i="13"/>
  <c r="L28" i="5" l="1"/>
  <c r="L19" i="5"/>
  <c r="H14" i="5"/>
  <c r="T14" i="5" s="1"/>
  <c r="N14" i="5"/>
  <c r="F15" i="5"/>
  <c r="H15" i="5"/>
  <c r="L15" i="5"/>
  <c r="L20" i="5"/>
  <c r="T21" i="5"/>
  <c r="T29" i="5"/>
  <c r="T37" i="5"/>
  <c r="T32" i="5" l="1"/>
  <c r="T42" i="5" s="1"/>
  <c r="L27" i="5"/>
  <c r="L26" i="5"/>
  <c r="L36" i="5"/>
  <c r="L35" i="5"/>
  <c r="L25" i="5"/>
  <c r="L37" i="5" l="1"/>
  <c r="L29" i="5"/>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8" i="32" s="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4" i="24"/>
  <c r="AL24" i="24" s="1"/>
  <c r="AJ23" i="24"/>
  <c r="AE58" i="16" l="1"/>
  <c r="AE58" i="17"/>
  <c r="AD50" i="15"/>
  <c r="AD17" i="15"/>
  <c r="AD24" i="15"/>
  <c r="AH24" i="15" s="1"/>
  <c r="AJ24" i="15" s="1"/>
  <c r="AH18" i="15"/>
  <c r="AJ18" i="15" s="1"/>
  <c r="AD53" i="15"/>
  <c r="AD19" i="15"/>
  <c r="AH19" i="15" s="1"/>
  <c r="AJ19" i="15" s="1"/>
  <c r="AD20" i="15"/>
  <c r="AH20" i="15" s="1"/>
  <c r="AJ20" i="15" s="1"/>
  <c r="AE50" i="17"/>
  <c r="C50" i="17"/>
  <c r="AJ28" i="24"/>
  <c r="AL28" i="24" s="1"/>
  <c r="AE42" i="17"/>
  <c r="C30" i="17"/>
  <c r="AH17" i="15" l="1"/>
  <c r="AJ17" i="15" s="1"/>
  <c r="G22" i="13"/>
  <c r="AJ29" i="24"/>
  <c r="AL29" i="24" s="1"/>
  <c r="R42" i="15"/>
  <c r="R53" i="15"/>
  <c r="R56" i="15" s="1"/>
  <c r="AG26" i="22"/>
  <c r="AI26" i="22" s="1"/>
  <c r="AG20" i="22"/>
  <c r="AI20" i="22" s="1"/>
  <c r="C30" i="16"/>
  <c r="AJ40" i="25"/>
  <c r="AJ39" i="25"/>
  <c r="AL39" i="25" s="1"/>
  <c r="AJ38" i="25"/>
  <c r="AJ36" i="25"/>
  <c r="AJ35" i="25"/>
  <c r="AJ33" i="25"/>
  <c r="AJ28" i="25"/>
  <c r="AJ30" i="25"/>
  <c r="AJ27" i="25"/>
  <c r="AJ26" i="25"/>
  <c r="AJ25" i="25"/>
  <c r="AJ24" i="25"/>
  <c r="AJ22" i="25"/>
  <c r="AJ20" i="25"/>
  <c r="AJ57" i="24"/>
  <c r="AL57" i="24" s="1"/>
  <c r="AJ56" i="24"/>
  <c r="AL56" i="24" s="1"/>
  <c r="AJ53" i="24"/>
  <c r="AL53" i="24" s="1"/>
  <c r="AJ52" i="24"/>
  <c r="AJ50" i="24"/>
  <c r="AL50" i="24" s="1"/>
  <c r="AJ49" i="24"/>
  <c r="AL49" i="24" s="1"/>
  <c r="AJ44" i="24"/>
  <c r="AL44" i="24" s="1"/>
  <c r="AJ43" i="24"/>
  <c r="AL43" i="24" s="1"/>
  <c r="AJ41" i="24"/>
  <c r="AL41" i="24" s="1"/>
  <c r="AE108" i="16"/>
  <c r="AE94" i="16"/>
  <c r="AE70" i="16"/>
  <c r="K22" i="13" l="1"/>
  <c r="O22" i="13" s="1"/>
  <c r="AL25" i="23"/>
  <c r="AN25" i="23" s="1"/>
  <c r="R46" i="15"/>
  <c r="R47" i="15" s="1"/>
  <c r="AL19" i="23"/>
  <c r="AN19" i="23" s="1"/>
  <c r="R32" i="15"/>
  <c r="R35" i="15"/>
  <c r="B76" i="22"/>
  <c r="AJ41" i="25"/>
  <c r="AB27" i="16"/>
  <c r="AE27" i="16"/>
  <c r="AD22" i="15" s="1"/>
  <c r="C50" i="16"/>
  <c r="AL28" i="23"/>
  <c r="AN28" i="23" s="1"/>
  <c r="AE69" i="16"/>
  <c r="AE86" i="16"/>
  <c r="AE97" i="16"/>
  <c r="AE105" i="16"/>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E26" i="19"/>
  <c r="C60" i="17"/>
  <c r="AE27" i="19"/>
  <c r="AE34" i="19"/>
  <c r="AH36" i="19"/>
  <c r="AE44" i="16"/>
  <c r="AD41" i="15" s="1"/>
  <c r="AH118" i="19"/>
  <c r="AE31" i="19"/>
  <c r="AH100" i="19"/>
  <c r="AH109" i="19" s="1"/>
  <c r="AE32" i="19"/>
  <c r="AH29" i="19"/>
  <c r="AF26" i="23"/>
  <c r="AL24" i="23"/>
  <c r="AN24" i="23" s="1"/>
  <c r="AJ42" i="24"/>
  <c r="AL42" i="24" s="1"/>
  <c r="AJ47" i="24"/>
  <c r="AL47" i="24" s="1"/>
  <c r="AJ45" i="24"/>
  <c r="AJ39" i="24"/>
  <c r="AL39" i="24" s="1"/>
  <c r="AJ35" i="24"/>
  <c r="AL35" i="24" s="1"/>
  <c r="AJ37" i="24"/>
  <c r="AL37" i="24" s="1"/>
  <c r="J15" i="3"/>
  <c r="AI52" i="18"/>
  <c r="AK52" i="18" s="1"/>
  <c r="AI50" i="18"/>
  <c r="AK50" i="18" s="1"/>
  <c r="AI49" i="18"/>
  <c r="AK49" i="18" s="1"/>
  <c r="F50" i="15"/>
  <c r="AI43" i="18"/>
  <c r="AK43" i="18" s="1"/>
  <c r="AI42" i="18"/>
  <c r="AK42" i="18" s="1"/>
  <c r="AI41" i="18"/>
  <c r="AK41" i="18" s="1"/>
  <c r="AI40" i="18"/>
  <c r="AK40" i="18" s="1"/>
  <c r="AI34" i="18"/>
  <c r="AK34" i="18" s="1"/>
  <c r="AI31" i="18"/>
  <c r="AK31" i="18" s="1"/>
  <c r="AI29" i="18"/>
  <c r="AK29" i="18" s="1"/>
  <c r="AI24" i="18"/>
  <c r="AK24" i="18" s="1"/>
  <c r="AI22" i="18"/>
  <c r="AK22" i="18" s="1"/>
  <c r="AI21" i="18"/>
  <c r="AK21" i="18" s="1"/>
  <c r="AI20" i="18"/>
  <c r="AK20" i="18" s="1"/>
  <c r="AI19" i="18"/>
  <c r="AK19" i="18" s="1"/>
  <c r="AA13" i="3"/>
  <c r="Y13" i="3"/>
  <c r="F13" i="3"/>
  <c r="F12" i="3"/>
  <c r="D13" i="3"/>
  <c r="AB105" i="17"/>
  <c r="AE106" i="17"/>
  <c r="AD16" i="2" l="1"/>
  <c r="AD15" i="2"/>
  <c r="Y35" i="3"/>
  <c r="AA19" i="3"/>
  <c r="AE42" i="16"/>
  <c r="AH38" i="19"/>
  <c r="AH86" i="19" s="1"/>
  <c r="AH112" i="19" s="1"/>
  <c r="AH122" i="19" s="1"/>
  <c r="AD46" i="15"/>
  <c r="AD42" i="15"/>
  <c r="AD44" i="15"/>
  <c r="AD56" i="15"/>
  <c r="AD34" i="15"/>
  <c r="AD35" i="15"/>
  <c r="AD30" i="15"/>
  <c r="AD29" i="15"/>
  <c r="AA16" i="3"/>
  <c r="AK34" i="19"/>
  <c r="AM34" i="19" s="1"/>
  <c r="J44" i="15"/>
  <c r="X44" i="15" s="1"/>
  <c r="AK35" i="19"/>
  <c r="AM35" i="19" s="1"/>
  <c r="J46" i="15"/>
  <c r="AK31" i="19"/>
  <c r="AM31" i="19" s="1"/>
  <c r="J41" i="15"/>
  <c r="AK32" i="19"/>
  <c r="AM32" i="19" s="1"/>
  <c r="J42" i="15"/>
  <c r="X42" i="15" s="1"/>
  <c r="AK33" i="19"/>
  <c r="AM33" i="19" s="1"/>
  <c r="J43" i="15"/>
  <c r="X43" i="15" s="1"/>
  <c r="AK27" i="19"/>
  <c r="AM27" i="19" s="1"/>
  <c r="J35" i="15"/>
  <c r="AK26" i="19"/>
  <c r="AM26" i="19" s="1"/>
  <c r="J34" i="15"/>
  <c r="AK24" i="19"/>
  <c r="AM24" i="19" s="1"/>
  <c r="J32" i="15"/>
  <c r="X32" i="15" s="1"/>
  <c r="AK22" i="19"/>
  <c r="AM22" i="19" s="1"/>
  <c r="J30" i="15"/>
  <c r="X30" i="15" s="1"/>
  <c r="AK21" i="19"/>
  <c r="AM21" i="19" s="1"/>
  <c r="J29" i="15"/>
  <c r="AK20" i="19"/>
  <c r="AM20" i="19" s="1"/>
  <c r="X50" i="15"/>
  <c r="AI30" i="18"/>
  <c r="AK30" i="18" s="1"/>
  <c r="AI35" i="18"/>
  <c r="AK35" i="18" s="1"/>
  <c r="AI32" i="18"/>
  <c r="X31" i="15"/>
  <c r="AH31" i="15" s="1"/>
  <c r="AJ31" i="15" s="1"/>
  <c r="AI45" i="18"/>
  <c r="F46" i="15"/>
  <c r="AI51" i="18"/>
  <c r="AK51" i="18" s="1"/>
  <c r="F53" i="15"/>
  <c r="X53" i="15" s="1"/>
  <c r="AH53" i="15" s="1"/>
  <c r="AJ53" i="15" s="1"/>
  <c r="J17" i="3"/>
  <c r="J16" i="3"/>
  <c r="AK52" i="21"/>
  <c r="G20" i="10"/>
  <c r="AI26" i="18"/>
  <c r="AK26" i="18" s="1"/>
  <c r="AH27" i="16"/>
  <c r="AJ27" i="16" s="1"/>
  <c r="AI25" i="18"/>
  <c r="AK25" i="18" s="1"/>
  <c r="AE50" i="16"/>
  <c r="AL45" i="25"/>
  <c r="AI48" i="18"/>
  <c r="AG28" i="22"/>
  <c r="AI21" i="22"/>
  <c r="AE36" i="19"/>
  <c r="AL29" i="23"/>
  <c r="AN29" i="23" s="1"/>
  <c r="R17" i="2"/>
  <c r="R16" i="2"/>
  <c r="AL26" i="23"/>
  <c r="AN26" i="23" s="1"/>
  <c r="AE29" i="19"/>
  <c r="AB81" i="17"/>
  <c r="AB84" i="17"/>
  <c r="AB99" i="17"/>
  <c r="AB82" i="17"/>
  <c r="AH82" i="17" s="1"/>
  <c r="AJ82" i="17" s="1"/>
  <c r="AA41" i="3"/>
  <c r="AA39" i="3"/>
  <c r="AA38" i="3"/>
  <c r="AA37" i="3"/>
  <c r="AA33" i="3"/>
  <c r="AA32" i="3"/>
  <c r="AA31" i="3"/>
  <c r="AA30" i="3"/>
  <c r="J16" i="2" l="1"/>
  <c r="J15" i="2"/>
  <c r="K20" i="10"/>
  <c r="G20" i="7"/>
  <c r="AI28" i="22"/>
  <c r="AG30" i="22"/>
  <c r="AI30" i="22" s="1"/>
  <c r="AB41" i="16"/>
  <c r="AH41" i="16" s="1"/>
  <c r="AJ41" i="16" s="1"/>
  <c r="F56" i="15"/>
  <c r="AK48" i="18"/>
  <c r="AI54" i="18"/>
  <c r="AK54" i="18" s="1"/>
  <c r="G23" i="7"/>
  <c r="AD38" i="15"/>
  <c r="AH30" i="15"/>
  <c r="AJ30" i="15" s="1"/>
  <c r="AH42" i="15"/>
  <c r="AJ42" i="15" s="1"/>
  <c r="AH32" i="15"/>
  <c r="AJ32" i="15" s="1"/>
  <c r="AH44" i="15"/>
  <c r="AJ44" i="15" s="1"/>
  <c r="AH43" i="15"/>
  <c r="AJ43" i="15" s="1"/>
  <c r="AD47" i="15"/>
  <c r="AI46" i="18"/>
  <c r="AK36" i="19"/>
  <c r="AM36" i="19" s="1"/>
  <c r="J47" i="15"/>
  <c r="X41" i="15"/>
  <c r="AH41" i="15" s="1"/>
  <c r="AJ41" i="15" s="1"/>
  <c r="X34" i="15"/>
  <c r="AH34" i="15" s="1"/>
  <c r="AJ34" i="15" s="1"/>
  <c r="X35" i="15"/>
  <c r="AH35" i="15" s="1"/>
  <c r="AJ35" i="15" s="1"/>
  <c r="AK29" i="19"/>
  <c r="AM29" i="19" s="1"/>
  <c r="J38" i="15"/>
  <c r="X28" i="15"/>
  <c r="AH28" i="15" s="1"/>
  <c r="AJ28" i="15" s="1"/>
  <c r="AI38" i="18"/>
  <c r="AH50" i="15"/>
  <c r="AJ50" i="15" s="1"/>
  <c r="X46" i="15"/>
  <c r="F47" i="15"/>
  <c r="G22" i="10"/>
  <c r="G21" i="10"/>
  <c r="K21" i="10" l="1"/>
  <c r="K22" i="10"/>
  <c r="X56" i="15"/>
  <c r="AH56" i="15" s="1"/>
  <c r="AJ56" i="15" s="1"/>
  <c r="AH46" i="15"/>
  <c r="AJ46" i="15" s="1"/>
  <c r="X47" i="15"/>
  <c r="AH47" i="15" s="1"/>
  <c r="AJ47" i="15" s="1"/>
  <c r="F38" i="15"/>
  <c r="F58" i="15" s="1"/>
  <c r="J50" i="3"/>
  <c r="AA29" i="3" l="1"/>
  <c r="AA27" i="3"/>
  <c r="AA26" i="3"/>
  <c r="AA25" i="3"/>
  <c r="AA20" i="3"/>
  <c r="AH105" i="17"/>
  <c r="AJ105" i="17" s="1"/>
  <c r="AH99" i="17"/>
  <c r="AJ99" i="17" s="1"/>
  <c r="AH84" i="17"/>
  <c r="AJ84" i="17" s="1"/>
  <c r="AH81" i="17"/>
  <c r="AJ81" i="17" s="1"/>
  <c r="AI51" i="21" l="1"/>
  <c r="AK51" i="21" s="1"/>
  <c r="AI50" i="21"/>
  <c r="AK50" i="21" s="1"/>
  <c r="AI48" i="21"/>
  <c r="AK48" i="21" s="1"/>
  <c r="AI47" i="21"/>
  <c r="AK47" i="21" s="1"/>
  <c r="AI46" i="21"/>
  <c r="AK46" i="21" s="1"/>
  <c r="AI45" i="21"/>
  <c r="AK45" i="21" s="1"/>
  <c r="AI44" i="21"/>
  <c r="AK44" i="21" s="1"/>
  <c r="AI43" i="21"/>
  <c r="AK43" i="21" s="1"/>
  <c r="AI42" i="21"/>
  <c r="AK42" i="21" s="1"/>
  <c r="AI41" i="21"/>
  <c r="AK41" i="21" s="1"/>
  <c r="AI39" i="21"/>
  <c r="AK39" i="21" s="1"/>
  <c r="AI33" i="21"/>
  <c r="AK33" i="21" s="1"/>
  <c r="AI38" i="21"/>
  <c r="AK38" i="21" s="1"/>
  <c r="AI37" i="21"/>
  <c r="AK37" i="21" s="1"/>
  <c r="AI36" i="21"/>
  <c r="AK36" i="21" s="1"/>
  <c r="AI35" i="21"/>
  <c r="AK35" i="21" s="1"/>
  <c r="AI32" i="21"/>
  <c r="AK32" i="21" s="1"/>
  <c r="AI30" i="21"/>
  <c r="AI29" i="21"/>
  <c r="AI28" i="21"/>
  <c r="AI27" i="21"/>
  <c r="AI26" i="21"/>
  <c r="AI24" i="21"/>
  <c r="AI23" i="21"/>
  <c r="AI22" i="21"/>
  <c r="AK21" i="21"/>
  <c r="AI86" i="21" l="1"/>
  <c r="AK86" i="21" s="1"/>
  <c r="AK56" i="21"/>
  <c r="AB99" i="16"/>
  <c r="AB82" i="16"/>
  <c r="AB81" i="16"/>
  <c r="AB84" i="16"/>
  <c r="AB105" i="16"/>
  <c r="AH105" i="16" l="1"/>
  <c r="AJ105" i="16" s="1"/>
  <c r="AH99" i="16"/>
  <c r="AJ99" i="16" s="1"/>
  <c r="AH84" i="16"/>
  <c r="AJ84" i="16" s="1"/>
  <c r="AH82" i="16"/>
  <c r="AJ82" i="16" s="1"/>
  <c r="AH81" i="16"/>
  <c r="AJ81" i="16" s="1"/>
  <c r="AI52" i="21"/>
  <c r="J19" i="3"/>
  <c r="J18" i="33" l="1"/>
  <c r="G23" i="10"/>
  <c r="K23" i="10" l="1"/>
  <c r="AD39" i="27"/>
  <c r="AG39" i="27" s="1"/>
  <c r="AD39" i="28"/>
  <c r="AG37" i="28"/>
  <c r="AI37" i="28" s="1"/>
  <c r="AG36" i="28"/>
  <c r="AI36" i="28" s="1"/>
  <c r="AG26" i="28"/>
  <c r="AI26" i="28" s="1"/>
  <c r="AG25" i="28"/>
  <c r="AI25" i="28" s="1"/>
  <c r="AG24" i="28"/>
  <c r="AI24" i="28" s="1"/>
  <c r="D26" i="5"/>
  <c r="A39" i="12"/>
  <c r="A48" i="8"/>
  <c r="AE47" i="26" l="1"/>
  <c r="D36" i="5"/>
  <c r="D35" i="5"/>
  <c r="AH29" i="26"/>
  <c r="AJ29" i="26" s="1"/>
  <c r="D28" i="5"/>
  <c r="N28" i="5" s="1"/>
  <c r="W28" i="5" s="1"/>
  <c r="Y28" i="5" s="1"/>
  <c r="AH28" i="26"/>
  <c r="AJ28" i="26" s="1"/>
  <c r="D27" i="5"/>
  <c r="AH27" i="26"/>
  <c r="AJ27" i="26" s="1"/>
  <c r="AH26" i="26"/>
  <c r="AJ26" i="26" s="1"/>
  <c r="D25" i="5"/>
  <c r="AH19" i="26"/>
  <c r="AJ19" i="26" s="1"/>
  <c r="D20" i="5"/>
  <c r="N20" i="5" s="1"/>
  <c r="W20" i="5" s="1"/>
  <c r="Y20" i="5" s="1"/>
  <c r="AH18" i="26"/>
  <c r="AJ18" i="26" s="1"/>
  <c r="D19" i="5"/>
  <c r="N19" i="5" s="1"/>
  <c r="W19" i="5" s="1"/>
  <c r="Y19" i="5" s="1"/>
  <c r="AH17" i="26"/>
  <c r="AJ17" i="26" s="1"/>
  <c r="D18" i="5"/>
  <c r="H36" i="5"/>
  <c r="AG36" i="27"/>
  <c r="AI36" i="27" s="1"/>
  <c r="AG26" i="27"/>
  <c r="AI26" i="27" s="1"/>
  <c r="AG25" i="27"/>
  <c r="AI25" i="27" s="1"/>
  <c r="N26" i="5"/>
  <c r="W26" i="5" s="1"/>
  <c r="Y26" i="5" s="1"/>
  <c r="AG24" i="27"/>
  <c r="AI24" i="27" s="1"/>
  <c r="H25" i="5"/>
  <c r="AH39" i="26"/>
  <c r="AJ39" i="26" s="1"/>
  <c r="AG39" i="28"/>
  <c r="AI39" i="28" s="1"/>
  <c r="AD44" i="27"/>
  <c r="AA39" i="28"/>
  <c r="AG17" i="27"/>
  <c r="AI17" i="27" s="1"/>
  <c r="AG28" i="28"/>
  <c r="AI28" i="28" s="1"/>
  <c r="N36" i="5" l="1"/>
  <c r="W36" i="5" s="1"/>
  <c r="Y36" i="5" s="1"/>
  <c r="AI39" i="27"/>
  <c r="N18" i="5"/>
  <c r="D37" i="5"/>
  <c r="AH42" i="26"/>
  <c r="AJ42" i="26" s="1"/>
  <c r="D29" i="5"/>
  <c r="N27" i="5"/>
  <c r="W27" i="5" s="1"/>
  <c r="Y27" i="5" s="1"/>
  <c r="AH31" i="26"/>
  <c r="AJ31" i="26" s="1"/>
  <c r="AH21" i="26"/>
  <c r="AJ21" i="26" s="1"/>
  <c r="D21" i="5"/>
  <c r="H37" i="5"/>
  <c r="N35" i="5"/>
  <c r="H29" i="5"/>
  <c r="N25" i="5"/>
  <c r="AG28" i="27"/>
  <c r="AI28" i="27" s="1"/>
  <c r="H21" i="5"/>
  <c r="AG19" i="27"/>
  <c r="AI19" i="27" s="1"/>
  <c r="AA44" i="28" l="1"/>
  <c r="D32" i="5"/>
  <c r="D42" i="5" s="1"/>
  <c r="AH35" i="26"/>
  <c r="N37" i="5"/>
  <c r="W37" i="5" s="1"/>
  <c r="W35" i="5"/>
  <c r="Y35" i="5" s="1"/>
  <c r="W25" i="5"/>
  <c r="N29" i="5"/>
  <c r="H32" i="5"/>
  <c r="H42" i="5" s="1"/>
  <c r="N21" i="5"/>
  <c r="W18" i="5"/>
  <c r="AG32" i="27"/>
  <c r="AI32" i="27" s="1"/>
  <c r="AL53" i="23"/>
  <c r="AN53" i="23" s="1"/>
  <c r="AL52" i="23"/>
  <c r="AL49" i="23"/>
  <c r="AN49" i="23" s="1"/>
  <c r="AL47" i="23"/>
  <c r="AN47" i="23" s="1"/>
  <c r="AL44" i="23"/>
  <c r="AN44" i="23" s="1"/>
  <c r="AL42" i="23"/>
  <c r="AN42" i="23" s="1"/>
  <c r="AG46" i="22"/>
  <c r="AI46" i="22" s="1"/>
  <c r="AG43" i="22"/>
  <c r="AI43" i="22" s="1"/>
  <c r="AJ35" i="26" l="1"/>
  <c r="AH47" i="26"/>
  <c r="AJ47" i="26" s="1"/>
  <c r="Y37" i="5"/>
  <c r="AG48" i="22"/>
  <c r="AI48" i="22" s="1"/>
  <c r="AL37" i="23"/>
  <c r="AN37" i="23" s="1"/>
  <c r="AL56" i="23"/>
  <c r="AN56" i="23" s="1"/>
  <c r="AL41" i="23"/>
  <c r="AN41" i="23" s="1"/>
  <c r="AL45" i="23"/>
  <c r="AL39" i="23"/>
  <c r="AN39" i="23" s="1"/>
  <c r="AL50" i="23"/>
  <c r="AN50" i="23" s="1"/>
  <c r="AL57" i="23"/>
  <c r="AN57" i="23" s="1"/>
  <c r="AL43" i="23"/>
  <c r="AN43" i="23" s="1"/>
  <c r="Y25" i="5"/>
  <c r="W29" i="5"/>
  <c r="Y29" i="5" s="1"/>
  <c r="N32" i="5"/>
  <c r="N42" i="5" s="1"/>
  <c r="W21" i="5"/>
  <c r="Y21" i="5" s="1"/>
  <c r="Y18" i="5"/>
  <c r="AG42" i="22"/>
  <c r="AI42" i="22" s="1"/>
  <c r="AG44" i="27"/>
  <c r="AI44" i="27" s="1"/>
  <c r="W32" i="5" l="1"/>
  <c r="Y32" i="5" s="1"/>
  <c r="AG51" i="22"/>
  <c r="AI51" i="22" s="1"/>
  <c r="W42" i="5" l="1"/>
  <c r="Y42" i="5" s="1"/>
  <c r="W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K44" i="19" l="1"/>
  <c r="AM44" i="19" s="1"/>
  <c r="AE45" i="19"/>
  <c r="AK45" i="19" s="1"/>
  <c r="AM45" i="19" s="1"/>
  <c r="AE47" i="19"/>
  <c r="AK47" i="19" s="1"/>
  <c r="AM47" i="19" s="1"/>
  <c r="AE51" i="19"/>
  <c r="AK51" i="19" s="1"/>
  <c r="AM51" i="19" s="1"/>
  <c r="AK52" i="19"/>
  <c r="AM52" i="19" s="1"/>
  <c r="AE54" i="19"/>
  <c r="AK54" i="19" s="1"/>
  <c r="AM54" i="19" s="1"/>
  <c r="AE58" i="19"/>
  <c r="AK58" i="19" s="1"/>
  <c r="AM58" i="19" s="1"/>
  <c r="AE65" i="19"/>
  <c r="AK65" i="19" s="1"/>
  <c r="AM65" i="19" s="1"/>
  <c r="AE67" i="19"/>
  <c r="AK67" i="19" s="1"/>
  <c r="AM67" i="19" s="1"/>
  <c r="AE62" i="19"/>
  <c r="AK62" i="19" s="1"/>
  <c r="AM62" i="19" s="1"/>
  <c r="AE68" i="19"/>
  <c r="AK68" i="19" s="1"/>
  <c r="AM68" i="19" s="1"/>
  <c r="AE71" i="19"/>
  <c r="AK71" i="19" s="1"/>
  <c r="AM71" i="19" s="1"/>
  <c r="AE74" i="19"/>
  <c r="AK74" i="19" s="1"/>
  <c r="AM74" i="19" s="1"/>
  <c r="AE75" i="19"/>
  <c r="AK75" i="19" s="1"/>
  <c r="AM75" i="19" s="1"/>
  <c r="AE76" i="19"/>
  <c r="AK76" i="19" s="1"/>
  <c r="AM76" i="19" s="1"/>
  <c r="AE78" i="19"/>
  <c r="AK78" i="19" s="1"/>
  <c r="AM78" i="19" s="1"/>
  <c r="AE81" i="19"/>
  <c r="AK81" i="19" s="1"/>
  <c r="AM81" i="19" s="1"/>
  <c r="AE80" i="19"/>
  <c r="AK80" i="19" s="1"/>
  <c r="AM80" i="19" s="1"/>
  <c r="AE60" i="19"/>
  <c r="AK60" i="19" s="1"/>
  <c r="AM60" i="19" s="1"/>
  <c r="AE50" i="19"/>
  <c r="AK50" i="19" s="1"/>
  <c r="AM50" i="19" s="1"/>
  <c r="AE64" i="19"/>
  <c r="AK64" i="19" s="1"/>
  <c r="AM64" i="19" s="1"/>
  <c r="AE57" i="19"/>
  <c r="AK57" i="19" s="1"/>
  <c r="AM57" i="19" s="1"/>
  <c r="AI95" i="18"/>
  <c r="AK95" i="18" s="1"/>
  <c r="AI79" i="18"/>
  <c r="AK79" i="18" s="1"/>
  <c r="AI78" i="18"/>
  <c r="AK78" i="18" s="1"/>
  <c r="AI64" i="18"/>
  <c r="AK64" i="18" s="1"/>
  <c r="AI63" i="18"/>
  <c r="AK63" i="18" s="1"/>
  <c r="AB88" i="17" l="1"/>
  <c r="AH88" i="17" s="1"/>
  <c r="AJ88" i="17" s="1"/>
  <c r="AI66" i="18"/>
  <c r="AK66" i="18" s="1"/>
  <c r="AK65" i="18"/>
  <c r="AI84" i="18"/>
  <c r="AK84" i="18" s="1"/>
  <c r="AI87" i="18"/>
  <c r="AK87" i="18" s="1"/>
  <c r="AB88" i="16"/>
  <c r="AI96" i="18"/>
  <c r="AK96" i="18" s="1"/>
  <c r="AE79" i="19"/>
  <c r="AK79" i="19" s="1"/>
  <c r="AM79" i="19" s="1"/>
  <c r="AE77" i="19"/>
  <c r="AK77" i="19" s="1"/>
  <c r="AM77" i="19" s="1"/>
  <c r="AE73" i="19"/>
  <c r="AK73" i="19" s="1"/>
  <c r="AM73" i="19" s="1"/>
  <c r="AE70" i="19"/>
  <c r="AK70" i="19" s="1"/>
  <c r="AM70" i="19" s="1"/>
  <c r="AE66" i="19"/>
  <c r="AK66" i="19" s="1"/>
  <c r="AM66" i="19" s="1"/>
  <c r="AK61" i="19"/>
  <c r="AM61" i="19" s="1"/>
  <c r="AK55" i="19"/>
  <c r="AM55" i="19" s="1"/>
  <c r="AE53" i="19"/>
  <c r="AK53" i="19" s="1"/>
  <c r="AM53" i="19" s="1"/>
  <c r="AE46" i="19"/>
  <c r="AK46" i="19" s="1"/>
  <c r="AM46" i="19" s="1"/>
  <c r="AE42" i="19"/>
  <c r="AI94" i="18"/>
  <c r="AK94" i="18" s="1"/>
  <c r="AI90" i="18"/>
  <c r="AK90" i="18" s="1"/>
  <c r="AI89" i="18"/>
  <c r="AK89" i="18" s="1"/>
  <c r="AI85" i="18"/>
  <c r="AK85" i="18" s="1"/>
  <c r="AI83" i="18"/>
  <c r="AK83" i="18" s="1"/>
  <c r="AI82" i="18"/>
  <c r="AK82" i="18" s="1"/>
  <c r="AI75" i="18"/>
  <c r="AK75" i="18" s="1"/>
  <c r="AI74" i="18"/>
  <c r="AK74" i="18" s="1"/>
  <c r="AI73" i="18"/>
  <c r="AK73" i="18" s="1"/>
  <c r="AI72" i="18"/>
  <c r="AK72" i="18" s="1"/>
  <c r="AI71" i="18"/>
  <c r="AK71" i="18" s="1"/>
  <c r="AI70" i="18"/>
  <c r="AK70" i="18" s="1"/>
  <c r="AI68" i="18"/>
  <c r="AK68" i="18" s="1"/>
  <c r="AI61" i="18"/>
  <c r="AK61" i="18" s="1"/>
  <c r="AI60" i="18"/>
  <c r="AK60" i="18" s="1"/>
  <c r="AE82" i="19" l="1"/>
  <c r="AH88" i="16"/>
  <c r="AJ88" i="16" s="1"/>
  <c r="C106" i="17"/>
  <c r="C110" i="17" s="1"/>
  <c r="C136" i="17" s="1"/>
  <c r="C106" i="16"/>
  <c r="AK42" i="19"/>
  <c r="AM42" i="19" s="1"/>
  <c r="AI97" i="18"/>
  <c r="AK97" i="18" s="1"/>
  <c r="J18" i="2" l="1"/>
  <c r="AK82" i="19"/>
  <c r="F19" i="3" l="1"/>
  <c r="L50" i="3" l="1"/>
  <c r="L49" i="3"/>
  <c r="L19" i="3"/>
  <c r="L18" i="3"/>
  <c r="L16" i="3"/>
  <c r="L51" i="3" l="1"/>
  <c r="L20" i="3" l="1"/>
  <c r="J38" i="3" l="1"/>
  <c r="J34" i="3"/>
  <c r="J33" i="3"/>
  <c r="J32" i="3"/>
  <c r="J31" i="3"/>
  <c r="J30" i="3"/>
  <c r="J29" i="3"/>
  <c r="J27" i="3"/>
  <c r="J26" i="3"/>
  <c r="J25" i="3"/>
  <c r="J20" i="3" l="1"/>
  <c r="J39" i="3"/>
  <c r="J37" i="3"/>
  <c r="J35" i="3"/>
  <c r="AJ81" i="24"/>
  <c r="AL81" i="24" s="1"/>
  <c r="AJ80" i="24"/>
  <c r="AL80" i="24" s="1"/>
  <c r="AJ79" i="24"/>
  <c r="AL79" i="24" s="1"/>
  <c r="AJ76" i="24"/>
  <c r="AL76" i="24" s="1"/>
  <c r="AJ74" i="24"/>
  <c r="AL74" i="24" s="1"/>
  <c r="AJ73" i="24"/>
  <c r="AL73" i="24" s="1"/>
  <c r="AJ72" i="24"/>
  <c r="AL72" i="24" s="1"/>
  <c r="AJ71" i="24"/>
  <c r="AL71" i="24" s="1"/>
  <c r="AG75" i="25"/>
  <c r="AJ75" i="25" s="1"/>
  <c r="I75" i="25"/>
  <c r="E75" i="25"/>
  <c r="AJ63" i="25"/>
  <c r="AL63" i="25" s="1"/>
  <c r="AJ62" i="25"/>
  <c r="AL62" i="25" s="1"/>
  <c r="AJ61" i="25"/>
  <c r="AL61" i="25" s="1"/>
  <c r="AJ57" i="25"/>
  <c r="AL57" i="25" s="1"/>
  <c r="AJ56" i="25"/>
  <c r="AL56" i="25" s="1"/>
  <c r="AJ55" i="25"/>
  <c r="AJ54" i="25"/>
  <c r="AL54" i="25" s="1"/>
  <c r="AJ53" i="25"/>
  <c r="AL53" i="25" s="1"/>
  <c r="AJ51" i="25"/>
  <c r="AJ49" i="25"/>
  <c r="I94" i="24"/>
  <c r="G42" i="26"/>
  <c r="AG37" i="29"/>
  <c r="AI37" i="29" s="1"/>
  <c r="AG36" i="29"/>
  <c r="AI36" i="29" s="1"/>
  <c r="X39" i="27"/>
  <c r="V39" i="27"/>
  <c r="T39" i="27"/>
  <c r="P39" i="27"/>
  <c r="N39" i="27"/>
  <c r="L39" i="27"/>
  <c r="L44" i="27" s="1"/>
  <c r="J39" i="27"/>
  <c r="H39" i="27"/>
  <c r="H44" i="27" s="1"/>
  <c r="F39" i="27"/>
  <c r="D39" i="27"/>
  <c r="B39" i="27"/>
  <c r="F39" i="29"/>
  <c r="D39" i="29"/>
  <c r="B39" i="29"/>
  <c r="AG26" i="29"/>
  <c r="AI26" i="29" s="1"/>
  <c r="AG25" i="29"/>
  <c r="AI25" i="29" s="1"/>
  <c r="AG24" i="29"/>
  <c r="AI24" i="29" s="1"/>
  <c r="F39" i="28"/>
  <c r="D39" i="28"/>
  <c r="B39" i="28"/>
  <c r="C42" i="31"/>
  <c r="E94" i="24"/>
  <c r="AF88" i="21"/>
  <c r="H88" i="21"/>
  <c r="D88" i="21"/>
  <c r="F118" i="19"/>
  <c r="AL75" i="25" l="1"/>
  <c r="H51" i="2"/>
  <c r="R118" i="19"/>
  <c r="R122" i="19" s="1"/>
  <c r="AE116" i="19"/>
  <c r="E29" i="8"/>
  <c r="E21" i="8"/>
  <c r="E32" i="8"/>
  <c r="E30" i="8"/>
  <c r="E40" i="7"/>
  <c r="K40" i="7" s="1"/>
  <c r="O21" i="10"/>
  <c r="O23" i="10"/>
  <c r="E25" i="8"/>
  <c r="E24" i="8"/>
  <c r="E33" i="8"/>
  <c r="K33" i="8" s="1"/>
  <c r="E23" i="8"/>
  <c r="E31" i="8"/>
  <c r="E20" i="8"/>
  <c r="O20" i="10"/>
  <c r="O22" i="10"/>
  <c r="J43" i="3"/>
  <c r="V44" i="27"/>
  <c r="T44" i="27"/>
  <c r="J44" i="27"/>
  <c r="R44" i="27"/>
  <c r="N44" i="27"/>
  <c r="B44" i="28"/>
  <c r="G31" i="10"/>
  <c r="G33" i="10"/>
  <c r="F44" i="27"/>
  <c r="G24" i="10"/>
  <c r="E98" i="24"/>
  <c r="E79" i="25"/>
  <c r="X44" i="27"/>
  <c r="D44" i="27"/>
  <c r="B44" i="29"/>
  <c r="F44" i="29"/>
  <c r="G30" i="10"/>
  <c r="AG53" i="22"/>
  <c r="AI53" i="22" s="1"/>
  <c r="AG39" i="29"/>
  <c r="AI39" i="29" s="1"/>
  <c r="AG28" i="29"/>
  <c r="AI28" i="29" s="1"/>
  <c r="AJ90" i="24"/>
  <c r="AL90" i="24" s="1"/>
  <c r="J21" i="3"/>
  <c r="AJ82" i="24"/>
  <c r="AL82" i="24" s="1"/>
  <c r="AJ50" i="25"/>
  <c r="AL50" i="25" s="1"/>
  <c r="B44" i="27"/>
  <c r="D44" i="29"/>
  <c r="AG61" i="22"/>
  <c r="AI61" i="22" s="1"/>
  <c r="G47" i="26"/>
  <c r="AG70" i="22"/>
  <c r="AI70" i="22" s="1"/>
  <c r="AG69" i="22"/>
  <c r="AI69" i="22" s="1"/>
  <c r="F44" i="28"/>
  <c r="AJ64" i="25"/>
  <c r="AL64" i="25" s="1"/>
  <c r="I79" i="25"/>
  <c r="AJ69" i="24"/>
  <c r="AL69" i="24" s="1"/>
  <c r="I98" i="24"/>
  <c r="AJ25" i="24"/>
  <c r="AL25" i="24" s="1"/>
  <c r="AJ91" i="24"/>
  <c r="AL91" i="24" s="1"/>
  <c r="AJ19" i="24"/>
  <c r="AL19" i="24" s="1"/>
  <c r="D44" i="28"/>
  <c r="AJ75" i="24"/>
  <c r="AL75" i="24" s="1"/>
  <c r="AJ68" i="24"/>
  <c r="AL68" i="24" s="1"/>
  <c r="AJ67" i="24"/>
  <c r="AL67" i="24" s="1"/>
  <c r="AJ58" i="25"/>
  <c r="AJ43" i="25"/>
  <c r="AL43" i="25" s="1"/>
  <c r="AG59" i="22"/>
  <c r="AI59" i="22" s="1"/>
  <c r="C45" i="31"/>
  <c r="AA39" i="29"/>
  <c r="N34" i="2"/>
  <c r="C101" i="30"/>
  <c r="K24" i="10" l="1"/>
  <c r="J50" i="2"/>
  <c r="K31" i="10"/>
  <c r="O31" i="10" s="1"/>
  <c r="K30" i="10"/>
  <c r="O30" i="10" s="1"/>
  <c r="O24" i="10"/>
  <c r="J46" i="3"/>
  <c r="K27" i="12"/>
  <c r="E22" i="7"/>
  <c r="C103" i="30"/>
  <c r="AI82" i="21"/>
  <c r="AF92" i="21"/>
  <c r="E40" i="14"/>
  <c r="W33" i="14"/>
  <c r="W37" i="14" s="1"/>
  <c r="G32" i="7"/>
  <c r="K32" i="7" s="1"/>
  <c r="E30" i="7"/>
  <c r="E20" i="7"/>
  <c r="K20" i="7" s="1"/>
  <c r="E31" i="7"/>
  <c r="E40" i="12"/>
  <c r="Q40" i="14"/>
  <c r="E35" i="10"/>
  <c r="E34" i="8"/>
  <c r="E42" i="11"/>
  <c r="E24" i="7"/>
  <c r="E25" i="7"/>
  <c r="K26" i="11"/>
  <c r="K35" i="11"/>
  <c r="E29" i="7"/>
  <c r="E21" i="7"/>
  <c r="E26" i="10"/>
  <c r="E33" i="13"/>
  <c r="E26" i="8"/>
  <c r="E33" i="7"/>
  <c r="E27" i="13"/>
  <c r="E23" i="7"/>
  <c r="K23" i="7" s="1"/>
  <c r="K33" i="10"/>
  <c r="O33" i="10" s="1"/>
  <c r="G33" i="7"/>
  <c r="AF77" i="23"/>
  <c r="AF84" i="23" s="1"/>
  <c r="G21" i="13"/>
  <c r="K32" i="13"/>
  <c r="O32" i="13" s="1"/>
  <c r="AL59" i="25"/>
  <c r="G26" i="10"/>
  <c r="K24" i="13"/>
  <c r="O24" i="13" s="1"/>
  <c r="AI72" i="22"/>
  <c r="K31" i="13"/>
  <c r="O31" i="13" s="1"/>
  <c r="AJ45" i="25"/>
  <c r="AJ26" i="24"/>
  <c r="AL26" i="24" s="1"/>
  <c r="AJ21" i="24"/>
  <c r="AL21" i="24" s="1"/>
  <c r="AG55" i="22"/>
  <c r="AI55" i="22" s="1"/>
  <c r="AJ59" i="25"/>
  <c r="AJ77" i="24"/>
  <c r="AL77" i="24" s="1"/>
  <c r="AL94" i="24"/>
  <c r="AG63" i="22"/>
  <c r="AI63" i="22" s="1"/>
  <c r="H24" i="6"/>
  <c r="AK38" i="18"/>
  <c r="AI106" i="18"/>
  <c r="AK106" i="18" s="1"/>
  <c r="AI109" i="18"/>
  <c r="AK109" i="18" s="1"/>
  <c r="AI110" i="18"/>
  <c r="AK110" i="18" s="1"/>
  <c r="AI111" i="18"/>
  <c r="AK111" i="18" s="1"/>
  <c r="AI112" i="18"/>
  <c r="AK112" i="18" s="1"/>
  <c r="AI113" i="18"/>
  <c r="AK113" i="18" s="1"/>
  <c r="AI114" i="18"/>
  <c r="AK114" i="18" s="1"/>
  <c r="Q133" i="16"/>
  <c r="AI117" i="18"/>
  <c r="AK117" i="18" s="1"/>
  <c r="G22" i="7" l="1"/>
  <c r="C158" i="30"/>
  <c r="K33" i="7"/>
  <c r="K22" i="7"/>
  <c r="I25" i="9"/>
  <c r="K39" i="11"/>
  <c r="K33" i="14"/>
  <c r="Q42" i="11"/>
  <c r="K37" i="12"/>
  <c r="E39" i="10"/>
  <c r="E42" i="10" s="1"/>
  <c r="E37" i="8"/>
  <c r="E37" i="13"/>
  <c r="E26" i="7"/>
  <c r="K21" i="13"/>
  <c r="O21" i="13" s="1"/>
  <c r="G20" i="13"/>
  <c r="G30" i="13"/>
  <c r="D92" i="21"/>
  <c r="G25" i="7"/>
  <c r="K25" i="7" s="1"/>
  <c r="AJ31" i="24"/>
  <c r="AL31" i="24" s="1"/>
  <c r="AI99" i="18"/>
  <c r="AK99" i="18" s="1"/>
  <c r="AI132" i="18"/>
  <c r="AK132" i="18" s="1"/>
  <c r="AI119" i="18"/>
  <c r="AK119" i="18" s="1"/>
  <c r="AI118" i="18"/>
  <c r="AK118" i="18" s="1"/>
  <c r="AK46" i="18"/>
  <c r="H92" i="21"/>
  <c r="AJ84" i="24"/>
  <c r="AL84" i="24" s="1"/>
  <c r="AI128" i="18"/>
  <c r="AK128" i="18" s="1"/>
  <c r="AI105" i="18"/>
  <c r="AK105" i="18" s="1"/>
  <c r="G21" i="7" l="1"/>
  <c r="K21" i="7" s="1"/>
  <c r="K30" i="13"/>
  <c r="O30" i="13" s="1"/>
  <c r="G31" i="7"/>
  <c r="K31" i="7" s="1"/>
  <c r="G30" i="7"/>
  <c r="K30" i="7" s="1"/>
  <c r="AG66" i="22"/>
  <c r="AG76" i="22" s="1"/>
  <c r="H33" i="6"/>
  <c r="H32" i="6"/>
  <c r="D33" i="6"/>
  <c r="D32" i="6"/>
  <c r="O33" i="13" l="1"/>
  <c r="N32" i="6"/>
  <c r="W32" i="6" s="1"/>
  <c r="Y32" i="6" s="1"/>
  <c r="K33" i="13"/>
  <c r="G33" i="13"/>
  <c r="K20" i="13"/>
  <c r="O20" i="13" s="1"/>
  <c r="AI76" i="22"/>
  <c r="AI66" i="22"/>
  <c r="D34" i="6"/>
  <c r="N33" i="6"/>
  <c r="W33" i="6" s="1"/>
  <c r="Y33" i="6" s="1"/>
  <c r="T34" i="6"/>
  <c r="L32" i="6"/>
  <c r="L33" i="6"/>
  <c r="H34" i="6"/>
  <c r="G34" i="10"/>
  <c r="Y34" i="6" l="1"/>
  <c r="K34" i="10"/>
  <c r="W34" i="6"/>
  <c r="N34" i="6"/>
  <c r="L34" i="6"/>
  <c r="O34" i="10" l="1"/>
  <c r="AE131" i="16"/>
  <c r="AK74" i="21"/>
  <c r="AI68" i="21"/>
  <c r="AK68" i="21" s="1"/>
  <c r="AI77" i="21"/>
  <c r="AK77" i="21" s="1"/>
  <c r="AK73" i="21"/>
  <c r="AI69" i="21"/>
  <c r="AK69" i="21" s="1"/>
  <c r="AI67" i="21"/>
  <c r="AK67" i="21" s="1"/>
  <c r="AI66" i="21"/>
  <c r="AK66" i="21" s="1"/>
  <c r="AI65" i="21"/>
  <c r="AK65" i="21" s="1"/>
  <c r="AI64" i="21"/>
  <c r="AK64" i="21" s="1"/>
  <c r="AI61" i="21"/>
  <c r="AK61" i="21" s="1"/>
  <c r="AI62" i="21"/>
  <c r="AK62" i="21" s="1"/>
  <c r="AI54" i="21"/>
  <c r="AI56" i="21" s="1"/>
  <c r="W26" i="11" l="1"/>
  <c r="AE121" i="16"/>
  <c r="AE119" i="16"/>
  <c r="AE116" i="16"/>
  <c r="AE115" i="16"/>
  <c r="AE114" i="16"/>
  <c r="AE122" i="16"/>
  <c r="AE123" i="16"/>
  <c r="AE127" i="16"/>
  <c r="AE120" i="16"/>
  <c r="AE126" i="16"/>
  <c r="AE118" i="16"/>
  <c r="J51" i="3"/>
  <c r="J55" i="3" s="1"/>
  <c r="AC88" i="21"/>
  <c r="AI85" i="21"/>
  <c r="AK85" i="21" s="1"/>
  <c r="AI60" i="21"/>
  <c r="AK60" i="21" s="1"/>
  <c r="W35" i="11" l="1"/>
  <c r="W39" i="11" s="1"/>
  <c r="AK88" i="21"/>
  <c r="AC92" i="21"/>
  <c r="K59" i="30"/>
  <c r="I26" i="10"/>
  <c r="K25" i="10"/>
  <c r="AK70" i="21"/>
  <c r="AE124" i="16"/>
  <c r="AI88" i="21"/>
  <c r="AK79" i="21"/>
  <c r="AI70" i="21"/>
  <c r="O25" i="10" l="1"/>
  <c r="O26" i="10" s="1"/>
  <c r="K26" i="10"/>
  <c r="G29" i="10"/>
  <c r="AI79" i="21"/>
  <c r="AK82" i="21"/>
  <c r="K29" i="10" l="1"/>
  <c r="O29" i="10" s="1"/>
  <c r="G35" i="10"/>
  <c r="G39" i="10" s="1"/>
  <c r="AI92" i="21"/>
  <c r="O35" i="10" l="1"/>
  <c r="O39" i="10" s="1"/>
  <c r="AK92" i="21"/>
  <c r="K35" i="10"/>
  <c r="K39" i="10"/>
  <c r="AL67" i="23" l="1"/>
  <c r="AN67" i="23" s="1"/>
  <c r="AL72" i="23"/>
  <c r="AN72" i="23" s="1"/>
  <c r="AL76" i="23"/>
  <c r="AN76" i="23" s="1"/>
  <c r="AL90" i="23"/>
  <c r="AN90" i="23" s="1"/>
  <c r="E94" i="23"/>
  <c r="AL75" i="23"/>
  <c r="AN75" i="23" s="1"/>
  <c r="AL74" i="23"/>
  <c r="AN74" i="23" s="1"/>
  <c r="AL80" i="23"/>
  <c r="AN80" i="23" s="1"/>
  <c r="AL91" i="23"/>
  <c r="AN91" i="23" s="1"/>
  <c r="AL71" i="23"/>
  <c r="AN71" i="23" s="1"/>
  <c r="AL81" i="23"/>
  <c r="AN81" i="23" s="1"/>
  <c r="AL68" i="23"/>
  <c r="AN68" i="23" s="1"/>
  <c r="AL73" i="23"/>
  <c r="AN73" i="23" s="1"/>
  <c r="AL79" i="23"/>
  <c r="AN79" i="23" s="1"/>
  <c r="AE95" i="19"/>
  <c r="AE107" i="19"/>
  <c r="AE98" i="19"/>
  <c r="AE92" i="19"/>
  <c r="AE90" i="19"/>
  <c r="AE99" i="19"/>
  <c r="AE104" i="19"/>
  <c r="AE96" i="19"/>
  <c r="AK102" i="19"/>
  <c r="AM102" i="19" s="1"/>
  <c r="AE84" i="19"/>
  <c r="AK103" i="19"/>
  <c r="AM103" i="19" s="1"/>
  <c r="AE97" i="19"/>
  <c r="AK116" i="19"/>
  <c r="AM116" i="19" s="1"/>
  <c r="AE94" i="19"/>
  <c r="V48" i="2"/>
  <c r="W139" i="16" s="1"/>
  <c r="J19" i="2" l="1"/>
  <c r="J38" i="2"/>
  <c r="J24" i="2"/>
  <c r="J32" i="2"/>
  <c r="J28" i="2"/>
  <c r="M139" i="16"/>
  <c r="O139" i="16"/>
  <c r="AK96" i="19"/>
  <c r="AM96" i="19" s="1"/>
  <c r="J30" i="2"/>
  <c r="AK99" i="19"/>
  <c r="AM99" i="19" s="1"/>
  <c r="J33" i="2"/>
  <c r="AK92" i="19"/>
  <c r="AM92" i="19" s="1"/>
  <c r="J26" i="2"/>
  <c r="AK95" i="19"/>
  <c r="AM95" i="19" s="1"/>
  <c r="J29" i="2"/>
  <c r="AK97" i="19"/>
  <c r="AM97" i="19" s="1"/>
  <c r="J31" i="2"/>
  <c r="AK107" i="19"/>
  <c r="AM107" i="19" s="1"/>
  <c r="J41" i="2"/>
  <c r="AK104" i="19"/>
  <c r="AM104" i="19" s="1"/>
  <c r="AK91" i="19"/>
  <c r="AM91" i="19" s="1"/>
  <c r="AK98" i="19"/>
  <c r="AM98" i="19" s="1"/>
  <c r="AK94" i="19"/>
  <c r="AM94" i="19" s="1"/>
  <c r="AE100" i="19"/>
  <c r="AL92" i="23"/>
  <c r="AN92" i="23" s="1"/>
  <c r="AK84" i="19"/>
  <c r="AM84" i="19" s="1"/>
  <c r="AL61" i="23"/>
  <c r="AN61" i="23" s="1"/>
  <c r="AM82" i="19"/>
  <c r="AK115" i="19"/>
  <c r="AM115" i="19" s="1"/>
  <c r="AE118" i="19"/>
  <c r="AK118" i="19" s="1"/>
  <c r="AM118" i="19" s="1"/>
  <c r="AK90" i="19"/>
  <c r="AM90" i="19" s="1"/>
  <c r="AL82" i="23"/>
  <c r="AN82" i="23" s="1"/>
  <c r="AL69" i="23"/>
  <c r="AN69" i="23" s="1"/>
  <c r="AN94" i="23"/>
  <c r="P34" i="2"/>
  <c r="P42" i="2" s="1"/>
  <c r="H34" i="2"/>
  <c r="H42" i="2" s="1"/>
  <c r="AL77" i="23" l="1"/>
  <c r="AK100" i="19"/>
  <c r="AE109" i="19"/>
  <c r="AN77" i="23" l="1"/>
  <c r="AL84" i="23"/>
  <c r="AK109" i="19"/>
  <c r="AM109" i="19" s="1"/>
  <c r="AM100" i="19"/>
  <c r="AL69" i="25" l="1"/>
  <c r="AL66" i="25"/>
  <c r="AJ66" i="25"/>
  <c r="AJ69" i="25" l="1"/>
  <c r="AG79" i="25"/>
  <c r="AJ79" i="25" s="1"/>
  <c r="AL79" i="25" l="1"/>
  <c r="E34" i="7" l="1"/>
  <c r="E37" i="7" l="1"/>
  <c r="AD34" i="2" l="1"/>
  <c r="AD42" i="2" s="1"/>
  <c r="H25" i="6" l="1"/>
  <c r="H23" i="6" l="1"/>
  <c r="H26" i="6" s="1"/>
  <c r="K50" i="30" l="1"/>
  <c r="K15" i="30"/>
  <c r="K142" i="30"/>
  <c r="D25" i="6"/>
  <c r="N25" i="6" s="1"/>
  <c r="W25" i="6" s="1"/>
  <c r="Y25" i="6" s="1"/>
  <c r="D24" i="6"/>
  <c r="N24" i="6" s="1"/>
  <c r="D23" i="6"/>
  <c r="D18" i="6"/>
  <c r="D19" i="6" l="1"/>
  <c r="D26" i="6"/>
  <c r="D29" i="6" l="1"/>
  <c r="D39" i="6" s="1"/>
  <c r="W28" i="27"/>
  <c r="F20" i="33" l="1"/>
  <c r="U20" i="14"/>
  <c r="K88" i="30"/>
  <c r="K116" i="30"/>
  <c r="M46" i="34"/>
  <c r="K95" i="30"/>
  <c r="C22" i="8"/>
  <c r="L22" i="32"/>
  <c r="M41" i="34"/>
  <c r="K27" i="31"/>
  <c r="M59" i="34"/>
  <c r="M22" i="34"/>
  <c r="M64" i="34"/>
  <c r="M56" i="34"/>
  <c r="J19" i="33"/>
  <c r="M36" i="34"/>
  <c r="M57" i="34"/>
  <c r="M66" i="34"/>
  <c r="M55" i="34"/>
  <c r="M19" i="34"/>
  <c r="E72" i="34"/>
  <c r="J16" i="33"/>
  <c r="H20" i="33"/>
  <c r="K117" i="30"/>
  <c r="M38" i="34"/>
  <c r="K85" i="30"/>
  <c r="K107" i="30"/>
  <c r="K64" i="30"/>
  <c r="Z12" i="37"/>
  <c r="U21" i="14"/>
  <c r="M58" i="34"/>
  <c r="M33" i="34"/>
  <c r="M63" i="34"/>
  <c r="U20" i="11"/>
  <c r="M32" i="10"/>
  <c r="M23" i="34"/>
  <c r="M37" i="34"/>
  <c r="K149" i="30"/>
  <c r="M45" i="34"/>
  <c r="M60" i="34"/>
  <c r="M42" i="34"/>
  <c r="M69" i="34"/>
  <c r="R48" i="2"/>
  <c r="J20" i="33" l="1"/>
  <c r="X48" i="2"/>
  <c r="R51" i="2"/>
  <c r="R34" i="2"/>
  <c r="R42" i="2" s="1"/>
  <c r="AB139" i="16" l="1"/>
  <c r="AN84" i="23" l="1"/>
  <c r="AH139" i="16"/>
  <c r="AJ139" i="16" s="1"/>
  <c r="N50" i="3" l="1"/>
  <c r="N49" i="3"/>
  <c r="N38" i="3"/>
  <c r="N20" i="3"/>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L25" i="6" l="1"/>
  <c r="W24" i="6"/>
  <c r="Y24" i="6" s="1"/>
  <c r="L24" i="6"/>
  <c r="N23" i="6"/>
  <c r="W23" i="6" s="1"/>
  <c r="Y23" i="6" s="1"/>
  <c r="L23" i="6"/>
  <c r="L19" i="6"/>
  <c r="H15" i="6"/>
  <c r="N14" i="6"/>
  <c r="H14" i="6"/>
  <c r="T14" i="6" s="1"/>
  <c r="W26" i="6" l="1"/>
  <c r="Y26" i="6" s="1"/>
  <c r="L26" i="6"/>
  <c r="L29" i="6" s="1"/>
  <c r="L39" i="6" s="1"/>
  <c r="N26" i="6"/>
  <c r="AG48" i="2" l="1"/>
  <c r="AI48" i="2" s="1"/>
  <c r="AB131" i="16"/>
  <c r="AA12" i="3"/>
  <c r="C124" i="16" l="1"/>
  <c r="C133" i="16" s="1"/>
  <c r="AH131" i="16"/>
  <c r="AJ131" i="16" s="1"/>
  <c r="F15" i="3" l="1"/>
  <c r="F20" i="2"/>
  <c r="F21" i="3" l="1"/>
  <c r="T15" i="3"/>
  <c r="G20" i="8" l="1"/>
  <c r="K20" i="8" s="1"/>
  <c r="T21" i="3"/>
  <c r="G26" i="8" l="1"/>
  <c r="K26" i="8"/>
  <c r="AA44" i="29" l="1"/>
  <c r="AA46" i="29" s="1"/>
  <c r="AB42" i="2" l="1"/>
  <c r="AG17" i="29"/>
  <c r="AI17" i="29" s="1"/>
  <c r="H18" i="6"/>
  <c r="N18" i="6" s="1"/>
  <c r="AB45" i="2" l="1"/>
  <c r="H19" i="6"/>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10" i="17" s="1"/>
  <c r="AH21" i="15" l="1"/>
  <c r="AJ21" i="15" s="1"/>
  <c r="K110" i="30"/>
  <c r="AH16" i="15"/>
  <c r="AJ16" i="15" s="1"/>
  <c r="AD25" i="15"/>
  <c r="AE30" i="16"/>
  <c r="AE60" i="16" s="1"/>
  <c r="AI27" i="18"/>
  <c r="AD15" i="3"/>
  <c r="AA21" i="3"/>
  <c r="AA46" i="3" s="1"/>
  <c r="AE136"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2" i="19" l="1"/>
  <c r="AB124" i="19" s="1"/>
  <c r="D16" i="3" l="1"/>
  <c r="V20" i="15" l="1"/>
  <c r="V18" i="15"/>
  <c r="V17" i="15"/>
  <c r="V19" i="15"/>
  <c r="V21" i="15" l="1"/>
  <c r="S30" i="16" l="1"/>
  <c r="S60" i="16" l="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AH32" i="17" l="1"/>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146" i="17" l="1"/>
  <c r="E40" i="13" l="1"/>
  <c r="K46" i="30" l="1"/>
  <c r="K96" i="30"/>
  <c r="K38" i="31" l="1"/>
  <c r="G72" i="34" l="1"/>
  <c r="AB25" i="15" l="1"/>
  <c r="N18" i="35"/>
  <c r="R18" i="35" s="1"/>
  <c r="H29" i="35"/>
  <c r="K39" i="31" l="1"/>
  <c r="AF35" i="23"/>
  <c r="AL35" i="23" s="1"/>
  <c r="AN35" i="23" s="1"/>
  <c r="AB65" i="16" l="1"/>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10" i="17"/>
  <c r="Y136" i="17" s="1"/>
  <c r="Y146" i="17" s="1"/>
  <c r="AD46" i="27" l="1"/>
  <c r="AH124" i="19" l="1"/>
  <c r="Z46" i="37"/>
  <c r="B46" i="37"/>
  <c r="D12" i="37" s="1"/>
  <c r="AB47" i="15"/>
  <c r="AF94" i="21"/>
  <c r="D46" i="37" l="1"/>
  <c r="F12" i="37" s="1"/>
  <c r="F46" i="37" l="1"/>
  <c r="H12" i="37" s="1"/>
  <c r="AI13" i="18"/>
  <c r="AK13" i="18" s="1"/>
  <c r="F13" i="20"/>
  <c r="F122" i="20" s="1"/>
  <c r="D13" i="19"/>
  <c r="D94" i="21"/>
  <c r="F13" i="21" s="1"/>
  <c r="AC13" i="21"/>
  <c r="AI13" i="21" s="1"/>
  <c r="AK13" i="21" s="1"/>
  <c r="J57" i="2" l="1"/>
  <c r="H46" i="37"/>
  <c r="J12" i="37" s="1"/>
  <c r="J46" i="37" s="1"/>
  <c r="L12" i="37" s="1"/>
  <c r="W42" i="11"/>
  <c r="J59" i="3"/>
  <c r="F94" i="21"/>
  <c r="H13" i="21" s="1"/>
  <c r="K42" i="11"/>
  <c r="AC94" i="21"/>
  <c r="G42" i="11"/>
  <c r="G41" i="10"/>
  <c r="S42" i="11"/>
  <c r="AE13" i="19"/>
  <c r="D124" i="19"/>
  <c r="F13" i="19" s="1"/>
  <c r="K41" i="10" l="1"/>
  <c r="M41" i="10"/>
  <c r="O41" i="10"/>
  <c r="O42" i="10" s="1"/>
  <c r="L46" i="37"/>
  <c r="N12" i="37" s="1"/>
  <c r="AI94" i="21"/>
  <c r="AK94" i="21" s="1"/>
  <c r="H94" i="21"/>
  <c r="J13" i="21" s="1"/>
  <c r="H13" i="20"/>
  <c r="H122" i="20" s="1"/>
  <c r="G42" i="10"/>
  <c r="AM13" i="19"/>
  <c r="AK13" i="19"/>
  <c r="K42" i="10"/>
  <c r="N46" i="37" l="1"/>
  <c r="P12" i="37" s="1"/>
  <c r="J94" i="21"/>
  <c r="L13" i="21" s="1"/>
  <c r="J13" i="20"/>
  <c r="K34" i="31"/>
  <c r="J122" i="20" l="1"/>
  <c r="L13" i="20" s="1"/>
  <c r="P46" i="37"/>
  <c r="R12" i="37" s="1"/>
  <c r="L94" i="21"/>
  <c r="N13" i="21" s="1"/>
  <c r="K40" i="30"/>
  <c r="L122" i="20" l="1"/>
  <c r="N13" i="20" s="1"/>
  <c r="N94" i="21"/>
  <c r="P13" i="21" s="1"/>
  <c r="G45" i="31"/>
  <c r="N122" i="20" l="1"/>
  <c r="P13" i="20" s="1"/>
  <c r="R46" i="37"/>
  <c r="P94" i="21"/>
  <c r="R13" i="21" s="1"/>
  <c r="K97" i="30"/>
  <c r="T12" i="37" l="1"/>
  <c r="T46" i="37" s="1"/>
  <c r="V12" i="37" s="1"/>
  <c r="V46" i="37" s="1"/>
  <c r="P122" i="20"/>
  <c r="R13" i="20" s="1"/>
  <c r="R94" i="21"/>
  <c r="T13" i="21" s="1"/>
  <c r="K153" i="30"/>
  <c r="R122" i="20" l="1"/>
  <c r="T13" i="20" s="1"/>
  <c r="X46" i="37"/>
  <c r="T94" i="21"/>
  <c r="V13" i="21" s="1"/>
  <c r="K60" i="30"/>
  <c r="T122" i="20" l="1"/>
  <c r="V13" i="20" s="1"/>
  <c r="V94" i="21"/>
  <c r="X13" i="21" s="1"/>
  <c r="K40" i="31"/>
  <c r="V122" i="20" l="1"/>
  <c r="X13" i="20" s="1"/>
  <c r="X94" i="21"/>
  <c r="X122" i="20" l="1"/>
  <c r="H57" i="3"/>
  <c r="Z94" i="21"/>
  <c r="N23" i="35"/>
  <c r="R23" i="35" s="1"/>
  <c r="B78" i="22" l="1"/>
  <c r="D13" i="22" s="1"/>
  <c r="C16" i="17"/>
  <c r="AB16" i="17" s="1"/>
  <c r="N59" i="2" l="1"/>
  <c r="D78" i="22"/>
  <c r="F13" i="22" s="1"/>
  <c r="AA78" i="22"/>
  <c r="N57" i="3"/>
  <c r="K40" i="12" l="1"/>
  <c r="N59" i="3"/>
  <c r="G40" i="12"/>
  <c r="F78" i="22" l="1"/>
  <c r="H13" i="22" s="1"/>
  <c r="H59" i="3" l="1"/>
  <c r="K98" i="30"/>
  <c r="H78" i="22" l="1"/>
  <c r="J13" i="22" s="1"/>
  <c r="K118" i="30" l="1"/>
  <c r="J78" i="22" l="1"/>
  <c r="L13" i="22" s="1"/>
  <c r="I52" i="44" l="1"/>
  <c r="K45" i="30"/>
  <c r="I56" i="44" l="1"/>
  <c r="L78" i="22"/>
  <c r="N13" i="22" s="1"/>
  <c r="N15" i="35"/>
  <c r="R15" i="35" s="1"/>
  <c r="L29" i="32" l="1"/>
  <c r="N78" i="22" l="1"/>
  <c r="P13" i="22" s="1"/>
  <c r="N20" i="35"/>
  <c r="N19" i="35"/>
  <c r="K151" i="30"/>
  <c r="P78" i="22" l="1"/>
  <c r="R13" i="22" s="1"/>
  <c r="K109" i="30"/>
  <c r="S72" i="34"/>
  <c r="K111" i="30"/>
  <c r="E156" i="30" l="1"/>
  <c r="P29" i="35"/>
  <c r="I156" i="30"/>
  <c r="J45" i="32"/>
  <c r="N17" i="35"/>
  <c r="R17" i="35" s="1"/>
  <c r="H45" i="32"/>
  <c r="H48" i="32" s="1"/>
  <c r="K72" i="34"/>
  <c r="I42" i="31"/>
  <c r="F29" i="35"/>
  <c r="F45" i="32"/>
  <c r="F48" i="32" s="1"/>
  <c r="G156" i="30"/>
  <c r="E42" i="31"/>
  <c r="E45" i="31" s="1"/>
  <c r="J29" i="35"/>
  <c r="AB14" i="26"/>
  <c r="C49" i="26"/>
  <c r="E14" i="26" s="1"/>
  <c r="K29" i="30"/>
  <c r="C25" i="8"/>
  <c r="I25" i="8" s="1"/>
  <c r="K121" i="30"/>
  <c r="E81" i="25"/>
  <c r="G13" i="25" s="1"/>
  <c r="AD13" i="25"/>
  <c r="AD81" i="25" s="1"/>
  <c r="K20" i="31"/>
  <c r="M34" i="10"/>
  <c r="K53" i="30"/>
  <c r="L44" i="32"/>
  <c r="K23" i="30"/>
  <c r="K69" i="30"/>
  <c r="M30" i="10"/>
  <c r="K21" i="31"/>
  <c r="K150" i="30"/>
  <c r="N27" i="35"/>
  <c r="R27" i="35" s="1"/>
  <c r="K84" i="30"/>
  <c r="K65" i="30"/>
  <c r="K17" i="30"/>
  <c r="K133" i="30"/>
  <c r="N26" i="35"/>
  <c r="R26" i="35" s="1"/>
  <c r="D29" i="35"/>
  <c r="K128" i="30"/>
  <c r="K82" i="30"/>
  <c r="K18" i="30"/>
  <c r="K19" i="31"/>
  <c r="K129" i="30"/>
  <c r="M24" i="13"/>
  <c r="L30" i="32"/>
  <c r="M48" i="34"/>
  <c r="L29" i="35"/>
  <c r="K130" i="30"/>
  <c r="M31" i="10"/>
  <c r="L42" i="32"/>
  <c r="K86" i="30"/>
  <c r="K43" i="30"/>
  <c r="K147" i="30"/>
  <c r="L34" i="32"/>
  <c r="K36" i="30"/>
  <c r="K54" i="30"/>
  <c r="M21" i="13"/>
  <c r="K22" i="30"/>
  <c r="K32" i="30"/>
  <c r="K47" i="30"/>
  <c r="L43" i="32"/>
  <c r="K140" i="30"/>
  <c r="L37" i="32"/>
  <c r="L36" i="32"/>
  <c r="K52" i="30"/>
  <c r="L39" i="32"/>
  <c r="K120" i="30"/>
  <c r="L38" i="32"/>
  <c r="K155" i="30"/>
  <c r="M22" i="10"/>
  <c r="K123" i="30"/>
  <c r="M20" i="34"/>
  <c r="L32" i="32"/>
  <c r="K55" i="30"/>
  <c r="N24" i="35"/>
  <c r="R24" i="35" s="1"/>
  <c r="M32" i="13"/>
  <c r="K106" i="30"/>
  <c r="K41" i="30"/>
  <c r="K90" i="30"/>
  <c r="K33" i="30"/>
  <c r="K31" i="30"/>
  <c r="K21" i="30"/>
  <c r="K154" i="30"/>
  <c r="R20" i="35"/>
  <c r="C24" i="8"/>
  <c r="I24" i="8" s="1"/>
  <c r="C23" i="8"/>
  <c r="I23" i="8" s="1"/>
  <c r="K71" i="30"/>
  <c r="B46" i="28"/>
  <c r="D14" i="28" s="1"/>
  <c r="D41" i="6"/>
  <c r="M24" i="10"/>
  <c r="M25" i="10"/>
  <c r="K80" i="30"/>
  <c r="K135" i="30"/>
  <c r="M70" i="34"/>
  <c r="K63" i="30"/>
  <c r="L31" i="32"/>
  <c r="K26" i="13"/>
  <c r="C35" i="11"/>
  <c r="M29" i="10"/>
  <c r="K36" i="31"/>
  <c r="AB56" i="15"/>
  <c r="K30" i="30"/>
  <c r="C32" i="7"/>
  <c r="I32" i="7" s="1"/>
  <c r="C32" i="8"/>
  <c r="I32" i="8" s="1"/>
  <c r="K37" i="31"/>
  <c r="L35" i="32"/>
  <c r="C29" i="8"/>
  <c r="I29" i="8" s="1"/>
  <c r="B46" i="27"/>
  <c r="D14" i="27" s="1"/>
  <c r="K20" i="30"/>
  <c r="K145" i="30"/>
  <c r="K138" i="30"/>
  <c r="K79" i="30"/>
  <c r="M30" i="13"/>
  <c r="C33" i="14"/>
  <c r="K23" i="31"/>
  <c r="M20" i="13"/>
  <c r="C27" i="14"/>
  <c r="M25" i="13"/>
  <c r="C40" i="7"/>
  <c r="I40" i="7" s="1"/>
  <c r="K58" i="30"/>
  <c r="R19" i="35"/>
  <c r="K134" i="30"/>
  <c r="K77" i="30"/>
  <c r="M31" i="13"/>
  <c r="K37" i="30"/>
  <c r="K148" i="30"/>
  <c r="M22" i="13"/>
  <c r="K66" i="30"/>
  <c r="K35" i="30"/>
  <c r="C33" i="8"/>
  <c r="I33" i="8" s="1"/>
  <c r="M33" i="10"/>
  <c r="K68" i="30"/>
  <c r="K146" i="30"/>
  <c r="K73" i="30"/>
  <c r="K81" i="30"/>
  <c r="L40" i="32"/>
  <c r="AD78" i="22"/>
  <c r="AG13" i="22"/>
  <c r="AI13" i="22" s="1"/>
  <c r="AA57" i="3"/>
  <c r="AE16" i="17"/>
  <c r="K99" i="30"/>
  <c r="AG81" i="25"/>
  <c r="T41" i="6"/>
  <c r="T42" i="6" s="1"/>
  <c r="AD46" i="29"/>
  <c r="K72" i="30"/>
  <c r="AE49" i="26"/>
  <c r="T44" i="5"/>
  <c r="T45" i="5" s="1"/>
  <c r="M23" i="10"/>
  <c r="K131" i="30"/>
  <c r="K16" i="30"/>
  <c r="K51" i="30"/>
  <c r="K152" i="30"/>
  <c r="C21" i="8"/>
  <c r="I21" i="8" s="1"/>
  <c r="C27" i="12"/>
  <c r="K56" i="30"/>
  <c r="K49" i="30"/>
  <c r="K42" i="30"/>
  <c r="K87" i="30"/>
  <c r="E100" i="24"/>
  <c r="G13" i="24" s="1"/>
  <c r="E13" i="23"/>
  <c r="B46" i="29"/>
  <c r="D14" i="29" s="1"/>
  <c r="AG14" i="29"/>
  <c r="AI14" i="29" s="1"/>
  <c r="M20" i="10"/>
  <c r="C26" i="11"/>
  <c r="K44" i="30"/>
  <c r="K57" i="30"/>
  <c r="C33" i="12"/>
  <c r="K19" i="30"/>
  <c r="K22" i="31"/>
  <c r="K78" i="30"/>
  <c r="K122" i="30"/>
  <c r="M52" i="34"/>
  <c r="K25" i="31"/>
  <c r="K38" i="30"/>
  <c r="C20" i="8"/>
  <c r="I20" i="8" s="1"/>
  <c r="K125" i="30"/>
  <c r="K24" i="31"/>
  <c r="K126" i="30"/>
  <c r="L41" i="32"/>
  <c r="L33" i="32"/>
  <c r="C31" i="8"/>
  <c r="I31" i="8" s="1"/>
  <c r="K70" i="30"/>
  <c r="K41" i="31"/>
  <c r="L24" i="32"/>
  <c r="K141" i="30"/>
  <c r="K28" i="30"/>
  <c r="K144" i="30"/>
  <c r="K119" i="30"/>
  <c r="K83" i="30"/>
  <c r="M21" i="10"/>
  <c r="C30" i="8"/>
  <c r="I30" i="8" s="1"/>
  <c r="K127" i="30"/>
  <c r="L23" i="32"/>
  <c r="K75" i="30"/>
  <c r="K76" i="30"/>
  <c r="K35" i="31"/>
  <c r="K100" i="30"/>
  <c r="K48" i="30"/>
  <c r="K143" i="30"/>
  <c r="K124" i="30"/>
  <c r="K26" i="31"/>
  <c r="O26" i="13" l="1"/>
  <c r="R57" i="2"/>
  <c r="AB58" i="15"/>
  <c r="M26" i="13"/>
  <c r="K42" i="31"/>
  <c r="D44" i="5"/>
  <c r="D45" i="5" s="1"/>
  <c r="AB49" i="26"/>
  <c r="AH49" i="26" s="1"/>
  <c r="AJ49" i="26" s="1"/>
  <c r="R78" i="22"/>
  <c r="T13" i="22" s="1"/>
  <c r="G81" i="25"/>
  <c r="I13" i="25" s="1"/>
  <c r="G100" i="24"/>
  <c r="I13" i="24" s="1"/>
  <c r="S40" i="14"/>
  <c r="AF13" i="23"/>
  <c r="M26" i="10"/>
  <c r="C22" i="7"/>
  <c r="I22" i="7" s="1"/>
  <c r="H44" i="5"/>
  <c r="H45" i="5" s="1"/>
  <c r="AA46" i="27"/>
  <c r="AG46" i="27" s="1"/>
  <c r="AI46" i="27" s="1"/>
  <c r="W40" i="14"/>
  <c r="L25" i="32"/>
  <c r="K101" i="30"/>
  <c r="AA46" i="28"/>
  <c r="AG46" i="28" s="1"/>
  <c r="AI46" i="28" s="1"/>
  <c r="K112" i="30"/>
  <c r="G158" i="30"/>
  <c r="U33" i="14"/>
  <c r="AG78" i="22"/>
  <c r="AI78" i="22" s="1"/>
  <c r="K28" i="31"/>
  <c r="AJ13" i="24"/>
  <c r="I35" i="11"/>
  <c r="C23" i="7"/>
  <c r="I23" i="7" s="1"/>
  <c r="C33" i="13"/>
  <c r="I33" i="12"/>
  <c r="AG14" i="28"/>
  <c r="AI14" i="28" s="1"/>
  <c r="M72" i="34"/>
  <c r="K24" i="30"/>
  <c r="I158" i="30"/>
  <c r="AG14" i="27"/>
  <c r="AI14" i="27" s="1"/>
  <c r="I27" i="12"/>
  <c r="C37" i="14"/>
  <c r="I45" i="31"/>
  <c r="O42" i="11"/>
  <c r="C39" i="11"/>
  <c r="C42" i="11" s="1"/>
  <c r="J48" i="32"/>
  <c r="AJ13" i="25"/>
  <c r="AL13" i="25" s="1"/>
  <c r="G39" i="13"/>
  <c r="M33" i="13"/>
  <c r="I33" i="14"/>
  <c r="R29" i="35"/>
  <c r="U35" i="11"/>
  <c r="E158" i="30"/>
  <c r="U26" i="11"/>
  <c r="I26" i="11"/>
  <c r="C37" i="12"/>
  <c r="C40" i="12" s="1"/>
  <c r="AL81" i="25"/>
  <c r="N29" i="35"/>
  <c r="L45" i="32"/>
  <c r="K156" i="30"/>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G49" i="7" l="1"/>
  <c r="I49" i="7"/>
  <c r="K49" i="7"/>
  <c r="C40" i="14"/>
  <c r="O40" i="14"/>
  <c r="U40" i="14"/>
  <c r="I37" i="12"/>
  <c r="I40" i="12" s="1"/>
  <c r="N44" i="5"/>
  <c r="N45" i="5" s="1"/>
  <c r="I39" i="11"/>
  <c r="I42" i="11" s="1"/>
  <c r="I81" i="25"/>
  <c r="K13" i="25" s="1"/>
  <c r="I100" i="24"/>
  <c r="K13" i="24" s="1"/>
  <c r="E49" i="26"/>
  <c r="G14" i="26" s="1"/>
  <c r="D46" i="27"/>
  <c r="F14" i="27" s="1"/>
  <c r="D46" i="29"/>
  <c r="F14" i="29" s="1"/>
  <c r="D46" i="28"/>
  <c r="F14" i="28" s="1"/>
  <c r="K103" i="30"/>
  <c r="AL13" i="24"/>
  <c r="C37" i="13"/>
  <c r="C40" i="13" s="1"/>
  <c r="K45" i="31"/>
  <c r="AJ81" i="25"/>
  <c r="AL13" i="23"/>
  <c r="AN13" i="23" s="1"/>
  <c r="K39" i="13"/>
  <c r="L48" i="32"/>
  <c r="U39" i="11"/>
  <c r="U42" i="11" s="1"/>
  <c r="N41" i="6"/>
  <c r="W41" i="6" s="1"/>
  <c r="I37" i="8"/>
  <c r="C37" i="8"/>
  <c r="AH16" i="16"/>
  <c r="AJ16" i="16" s="1"/>
  <c r="I34" i="7"/>
  <c r="M39" i="10"/>
  <c r="M42" i="10" s="1"/>
  <c r="C34" i="7"/>
  <c r="C39" i="10"/>
  <c r="C42" i="10" s="1"/>
  <c r="C26" i="7"/>
  <c r="K158" i="30" l="1"/>
  <c r="M39" i="13"/>
  <c r="O39" i="13"/>
  <c r="T78" i="22"/>
  <c r="V13" i="22" s="1"/>
  <c r="L57" i="2" s="1"/>
  <c r="K100" i="24"/>
  <c r="M13" i="24" s="1"/>
  <c r="K81" i="25"/>
  <c r="M13" i="25" s="1"/>
  <c r="M81" i="25" s="1"/>
  <c r="O13" i="25" s="1"/>
  <c r="W44" i="5"/>
  <c r="Y44" i="5" s="1"/>
  <c r="N42" i="6"/>
  <c r="C37" i="7"/>
  <c r="Y41" i="6"/>
  <c r="W42" i="6"/>
  <c r="Y42" i="6" s="1"/>
  <c r="V22" i="15"/>
  <c r="F38" i="19"/>
  <c r="F86" i="19" s="1"/>
  <c r="F112" i="19" s="1"/>
  <c r="F122" i="19" s="1"/>
  <c r="F124" i="19" s="1"/>
  <c r="H13" i="19" s="1"/>
  <c r="AE38" i="19"/>
  <c r="AE86" i="19" s="1"/>
  <c r="AE112" i="19" s="1"/>
  <c r="AE122" i="19" s="1"/>
  <c r="M100" i="24" l="1"/>
  <c r="O13" i="24" s="1"/>
  <c r="H124" i="19"/>
  <c r="J13" i="19" s="1"/>
  <c r="W45" i="5"/>
  <c r="Y45" i="5" s="1"/>
  <c r="F46" i="29"/>
  <c r="H14" i="29" s="1"/>
  <c r="F46" i="28"/>
  <c r="H14" i="28" s="1"/>
  <c r="F46" i="27"/>
  <c r="H14" i="27" s="1"/>
  <c r="G49" i="26"/>
  <c r="I14" i="26" s="1"/>
  <c r="AK122" i="19"/>
  <c r="AM122" i="19" s="1"/>
  <c r="AE124" i="19"/>
  <c r="AK124" i="19" s="1"/>
  <c r="AM124" i="19" s="1"/>
  <c r="AK17" i="19"/>
  <c r="J14" i="2"/>
  <c r="H25" i="15"/>
  <c r="H58" i="15" s="1"/>
  <c r="J22" i="15"/>
  <c r="V78" i="22" l="1"/>
  <c r="O81" i="25"/>
  <c r="Q13" i="25" s="1"/>
  <c r="I49" i="26"/>
  <c r="K14" i="26" s="1"/>
  <c r="AK38" i="19"/>
  <c r="AM38" i="19" s="1"/>
  <c r="AM17" i="19"/>
  <c r="X22" i="15"/>
  <c r="J25" i="15"/>
  <c r="J58" i="15" s="1"/>
  <c r="X14" i="2"/>
  <c r="J20" i="2"/>
  <c r="J45" i="2" s="1"/>
  <c r="J55" i="2" s="1"/>
  <c r="J59" i="2" s="1"/>
  <c r="Q81" i="25" l="1"/>
  <c r="S13" i="25" s="1"/>
  <c r="K49" i="26"/>
  <c r="M14" i="26" s="1"/>
  <c r="J124" i="19"/>
  <c r="L13" i="19" s="1"/>
  <c r="H46" i="29"/>
  <c r="J14" i="29" s="1"/>
  <c r="H46" i="28"/>
  <c r="J14" i="28" s="1"/>
  <c r="AK86" i="19"/>
  <c r="AM86" i="19" s="1"/>
  <c r="H46" i="27"/>
  <c r="J14" i="27" s="1"/>
  <c r="AG14" i="2"/>
  <c r="AI14" i="2"/>
  <c r="X25" i="15"/>
  <c r="AH22" i="15"/>
  <c r="AJ22" i="15" s="1"/>
  <c r="X78" i="22" l="1"/>
  <c r="S81" i="25"/>
  <c r="U13" i="25" s="1"/>
  <c r="M49" i="26"/>
  <c r="O14" i="26" s="1"/>
  <c r="AK112" i="19"/>
  <c r="AM112" i="19" s="1"/>
  <c r="AH25" i="15"/>
  <c r="AJ25" i="15" s="1"/>
  <c r="U81" i="25" l="1"/>
  <c r="W13" i="25" s="1"/>
  <c r="O49" i="26"/>
  <c r="Q14" i="26" s="1"/>
  <c r="L124" i="19"/>
  <c r="N13" i="19" s="1"/>
  <c r="J46" i="28"/>
  <c r="L14" i="28" s="1"/>
  <c r="J46" i="29"/>
  <c r="L14" i="29" s="1"/>
  <c r="J46" i="27"/>
  <c r="L14" i="27" s="1"/>
  <c r="W81" i="25" l="1"/>
  <c r="Y13" i="25" s="1"/>
  <c r="Q49" i="26"/>
  <c r="S14" i="26" s="1"/>
  <c r="L46" i="27"/>
  <c r="N14" i="27" s="1"/>
  <c r="V37" i="2"/>
  <c r="L41" i="3"/>
  <c r="R41" i="3" s="1"/>
  <c r="Y81" i="25" l="1"/>
  <c r="S49" i="26"/>
  <c r="U14" i="26" s="1"/>
  <c r="L46" i="28"/>
  <c r="N14" i="28" s="1"/>
  <c r="N124" i="19"/>
  <c r="P13" i="19" s="1"/>
  <c r="L46" i="29"/>
  <c r="N14" i="29" s="1"/>
  <c r="AB130" i="17"/>
  <c r="AH130" i="17" s="1"/>
  <c r="AJ130" i="17" s="1"/>
  <c r="V40" i="2"/>
  <c r="V42" i="2" s="1"/>
  <c r="AB127" i="16"/>
  <c r="AH127" i="16" s="1"/>
  <c r="AJ127" i="16" s="1"/>
  <c r="L38" i="3"/>
  <c r="L43" i="3" s="1"/>
  <c r="AB127" i="17"/>
  <c r="AB130" i="16"/>
  <c r="AH130" i="16" s="1"/>
  <c r="AJ130" i="16" s="1"/>
  <c r="L42" i="2"/>
  <c r="AA81" i="25" l="1"/>
  <c r="U49" i="26"/>
  <c r="W14" i="26" s="1"/>
  <c r="B44" i="5" s="1"/>
  <c r="N46" i="27"/>
  <c r="P14" i="27" s="1"/>
  <c r="R38" i="3"/>
  <c r="R43" i="3" s="1"/>
  <c r="AB133" i="17"/>
  <c r="AH127" i="17"/>
  <c r="AB133" i="16"/>
  <c r="W49" i="26" l="1"/>
  <c r="P124" i="19"/>
  <c r="R13" i="19" s="1"/>
  <c r="N46" i="28"/>
  <c r="P14" i="28" s="1"/>
  <c r="N46" i="29"/>
  <c r="P14" i="29" s="1"/>
  <c r="AH133" i="16"/>
  <c r="AJ133" i="16" s="1"/>
  <c r="AH133" i="17"/>
  <c r="AJ133" i="17" s="1"/>
  <c r="AJ127" i="17"/>
  <c r="Y49" i="26" l="1"/>
  <c r="P46" i="27"/>
  <c r="R14" i="27" s="1"/>
  <c r="P46" i="29" l="1"/>
  <c r="R14" i="29" s="1"/>
  <c r="P46" i="28"/>
  <c r="R14" i="28" s="1"/>
  <c r="R124" i="19"/>
  <c r="T13" i="19" s="1"/>
  <c r="R46" i="27"/>
  <c r="T14" i="27" s="1"/>
  <c r="R46" i="28" l="1"/>
  <c r="T14" i="28" s="1"/>
  <c r="R46" i="29"/>
  <c r="T14" i="29" s="1"/>
  <c r="T124" i="19"/>
  <c r="V13" i="19" s="1"/>
  <c r="T46" i="27"/>
  <c r="V14" i="27" s="1"/>
  <c r="F44" i="5" s="1"/>
  <c r="T46" i="29" l="1"/>
  <c r="V14" i="29" s="1"/>
  <c r="F41" i="6" s="1"/>
  <c r="T46" i="28"/>
  <c r="V14" i="28" s="1"/>
  <c r="B41" i="6" s="1"/>
  <c r="V124" i="19"/>
  <c r="X13" i="19" s="1"/>
  <c r="V46" i="27"/>
  <c r="H57" i="2" l="1"/>
  <c r="F45" i="5"/>
  <c r="X46" i="27"/>
  <c r="B45" i="5"/>
  <c r="V46" i="29" l="1"/>
  <c r="V46" i="28"/>
  <c r="X124" i="19"/>
  <c r="L44" i="5"/>
  <c r="L45" i="5" s="1"/>
  <c r="L25" i="15"/>
  <c r="L58" i="15" s="1"/>
  <c r="Q30" i="17"/>
  <c r="Q60" i="17" s="1"/>
  <c r="Q30" i="16"/>
  <c r="AB30" i="16" s="1"/>
  <c r="V14" i="2"/>
  <c r="F42" i="6" l="1"/>
  <c r="H59" i="2"/>
  <c r="L15" i="3"/>
  <c r="R15" i="3" s="1"/>
  <c r="R21" i="3" s="1"/>
  <c r="R46" i="3" s="1"/>
  <c r="L20" i="2"/>
  <c r="L45" i="2" s="1"/>
  <c r="L55" i="2" s="1"/>
  <c r="Q110" i="17"/>
  <c r="Q136" i="17" s="1"/>
  <c r="Q146" i="17" s="1"/>
  <c r="AB60" i="17"/>
  <c r="AB28" i="16"/>
  <c r="AH28" i="16" s="1"/>
  <c r="V25" i="15"/>
  <c r="AB28" i="17"/>
  <c r="X46" i="29" l="1"/>
  <c r="X46" i="28"/>
  <c r="B42" i="6"/>
  <c r="L41" i="6"/>
  <c r="L42" i="6" s="1"/>
  <c r="Z124" i="19"/>
  <c r="AH30" i="16"/>
  <c r="AJ28" i="16"/>
  <c r="L21" i="3"/>
  <c r="L46" i="3" s="1"/>
  <c r="L55" i="3" s="1"/>
  <c r="AB30" i="17"/>
  <c r="AH28" i="17"/>
  <c r="AH60" i="17"/>
  <c r="AB110" i="17"/>
  <c r="AB136" i="17" s="1"/>
  <c r="AJ30" i="16" l="1"/>
  <c r="AH30" i="17"/>
  <c r="AJ30" i="17" s="1"/>
  <c r="AJ28" i="17"/>
  <c r="AJ60" i="17"/>
  <c r="AH110" i="17"/>
  <c r="AJ110" i="17" s="1"/>
  <c r="AH136" i="17"/>
  <c r="AJ136" i="17" s="1"/>
  <c r="L59" i="2" l="1"/>
  <c r="L57" i="3" l="1"/>
  <c r="L59" i="3" l="1"/>
  <c r="Z36" i="43" l="1"/>
  <c r="Z42" i="43" s="1"/>
  <c r="Z44" i="43" s="1"/>
  <c r="D36" i="43"/>
  <c r="D42" i="43" s="1"/>
  <c r="D44" i="43" s="1"/>
  <c r="F12" i="43" l="1"/>
  <c r="F44" i="43" s="1"/>
  <c r="G38" i="9"/>
  <c r="G39" i="9"/>
  <c r="G29" i="9"/>
  <c r="G28" i="9"/>
  <c r="AE140" i="17"/>
  <c r="C139" i="17"/>
  <c r="V138" i="18"/>
  <c r="V142" i="18" s="1"/>
  <c r="N138" i="18"/>
  <c r="N142" i="18" s="1"/>
  <c r="AI130" i="18"/>
  <c r="AK130" i="18" s="1"/>
  <c r="AI133" i="18"/>
  <c r="AK133" i="18" s="1"/>
  <c r="L138" i="18"/>
  <c r="L142" i="18" s="1"/>
  <c r="C140" i="17"/>
  <c r="AI134" i="18"/>
  <c r="AK134" i="18" s="1"/>
  <c r="AA49" i="3"/>
  <c r="AI129" i="18"/>
  <c r="AK129" i="18" s="1"/>
  <c r="H12" i="43" l="1"/>
  <c r="H44" i="43" s="1"/>
  <c r="I28" i="9"/>
  <c r="K28" i="9"/>
  <c r="I29" i="9"/>
  <c r="K29" i="9"/>
  <c r="I39" i="9"/>
  <c r="K39" i="9"/>
  <c r="I38" i="9"/>
  <c r="K38" i="9"/>
  <c r="V49" i="2"/>
  <c r="W140" i="16" s="1"/>
  <c r="G30" i="9"/>
  <c r="J138" i="18"/>
  <c r="J142" i="18" s="1"/>
  <c r="I142" i="17"/>
  <c r="I146" i="17" s="1"/>
  <c r="V50" i="2"/>
  <c r="W141" i="16" s="1"/>
  <c r="T138" i="18"/>
  <c r="T142" i="18" s="1"/>
  <c r="AA50" i="3"/>
  <c r="AA51" i="3" s="1"/>
  <c r="AA55" i="3" s="1"/>
  <c r="AA59" i="3" s="1"/>
  <c r="AB140" i="17"/>
  <c r="AH140" i="17" s="1"/>
  <c r="AJ140" i="17" s="1"/>
  <c r="E142" i="17"/>
  <c r="E146" i="17" s="1"/>
  <c r="F138" i="18"/>
  <c r="F142" i="18" s="1"/>
  <c r="AI135" i="18"/>
  <c r="AK135" i="18" s="1"/>
  <c r="X138" i="18"/>
  <c r="X142" i="18" s="1"/>
  <c r="AI131" i="18"/>
  <c r="AK131" i="18" s="1"/>
  <c r="R138" i="18"/>
  <c r="R142" i="18" s="1"/>
  <c r="Z138" i="18"/>
  <c r="Z142" i="18" s="1"/>
  <c r="P138" i="18"/>
  <c r="P142" i="18" s="1"/>
  <c r="AD49" i="2"/>
  <c r="D138" i="18"/>
  <c r="D142" i="18" s="1"/>
  <c r="D144" i="18" s="1"/>
  <c r="F13" i="18" s="1"/>
  <c r="AE139" i="17"/>
  <c r="AE142" i="17" s="1"/>
  <c r="AE146" i="17" s="1"/>
  <c r="AE148" i="17" s="1"/>
  <c r="X50" i="2"/>
  <c r="AF138" i="18"/>
  <c r="C142" i="17"/>
  <c r="C146" i="17" s="1"/>
  <c r="C148" i="17" s="1"/>
  <c r="E16" i="17" s="1"/>
  <c r="D49" i="3"/>
  <c r="AC138" i="18"/>
  <c r="H138" i="18"/>
  <c r="H142" i="18" s="1"/>
  <c r="AD50" i="2"/>
  <c r="AE141" i="16" s="1"/>
  <c r="M143" i="16" l="1"/>
  <c r="AF142" i="18"/>
  <c r="J12" i="43"/>
  <c r="J44" i="43" s="1"/>
  <c r="L12" i="43" s="1"/>
  <c r="L44" i="43" s="1"/>
  <c r="I143" i="16"/>
  <c r="I147" i="16" s="1"/>
  <c r="K42" i="9"/>
  <c r="I42" i="9"/>
  <c r="I30" i="9"/>
  <c r="K30" i="9"/>
  <c r="E143" i="16"/>
  <c r="E147" i="16" s="1"/>
  <c r="C143" i="16"/>
  <c r="Y143" i="16"/>
  <c r="Y147" i="16" s="1"/>
  <c r="W143" i="16"/>
  <c r="U143" i="16"/>
  <c r="U147" i="16" s="1"/>
  <c r="S143" i="16"/>
  <c r="Q143" i="16"/>
  <c r="G142" i="17"/>
  <c r="G146" i="17" s="1"/>
  <c r="D50" i="3"/>
  <c r="R50" i="3" s="1"/>
  <c r="D51" i="2"/>
  <c r="D55" i="2" s="1"/>
  <c r="F144" i="18"/>
  <c r="E148" i="17"/>
  <c r="G16" i="17" s="1"/>
  <c r="AB139" i="17"/>
  <c r="AH139" i="17" s="1"/>
  <c r="AD51" i="2"/>
  <c r="AE140" i="16"/>
  <c r="AE143" i="16" s="1"/>
  <c r="F50" i="3"/>
  <c r="T50" i="3" s="1"/>
  <c r="AD50" i="3" s="1"/>
  <c r="AF50" i="3" s="1"/>
  <c r="AC142" i="18"/>
  <c r="AI138" i="18"/>
  <c r="AK138" i="18" s="1"/>
  <c r="R49" i="3"/>
  <c r="V51" i="2"/>
  <c r="AG50" i="2"/>
  <c r="AI50" i="2"/>
  <c r="F51" i="2"/>
  <c r="F55" i="2" s="1"/>
  <c r="F59" i="2" s="1"/>
  <c r="X49" i="2"/>
  <c r="F49" i="3"/>
  <c r="N12" i="43" l="1"/>
  <c r="N44" i="43" s="1"/>
  <c r="AF144" i="18"/>
  <c r="O143" i="16"/>
  <c r="O147" i="16" s="1"/>
  <c r="K143" i="16"/>
  <c r="K147" i="16" s="1"/>
  <c r="H13" i="18"/>
  <c r="F57" i="3"/>
  <c r="T57" i="3" s="1"/>
  <c r="G148" i="17"/>
  <c r="D51" i="3"/>
  <c r="D55" i="3" s="1"/>
  <c r="R51" i="3"/>
  <c r="R55" i="3" s="1"/>
  <c r="AB141" i="16"/>
  <c r="G41" i="8"/>
  <c r="AB142" i="17"/>
  <c r="AB146" i="17" s="1"/>
  <c r="AH146" i="17" s="1"/>
  <c r="AJ146" i="17" s="1"/>
  <c r="T49" i="3"/>
  <c r="F51" i="3"/>
  <c r="F55" i="3" s="1"/>
  <c r="AC144" i="18"/>
  <c r="AI142" i="18"/>
  <c r="AK142" i="18" s="1"/>
  <c r="G143" i="16"/>
  <c r="G147" i="16" s="1"/>
  <c r="AB140" i="16"/>
  <c r="AG49" i="2"/>
  <c r="AG51" i="2" s="1"/>
  <c r="AI51" i="2" s="1"/>
  <c r="AI49" i="2"/>
  <c r="X51" i="2"/>
  <c r="AJ139" i="17"/>
  <c r="AH142" i="17"/>
  <c r="AJ142" i="17" s="1"/>
  <c r="P12" i="43" l="1"/>
  <c r="P44" i="43" s="1"/>
  <c r="AH141" i="16"/>
  <c r="AJ141" i="16" s="1"/>
  <c r="AI144" i="18"/>
  <c r="AK144" i="18" s="1"/>
  <c r="I16" i="17"/>
  <c r="I148" i="17" s="1"/>
  <c r="H144" i="18"/>
  <c r="J13" i="18" s="1"/>
  <c r="F59" i="3"/>
  <c r="G48" i="8"/>
  <c r="K48" i="8" s="1"/>
  <c r="AD57" i="3"/>
  <c r="AF57" i="3" s="1"/>
  <c r="AB148" i="17"/>
  <c r="AH148" i="17" s="1"/>
  <c r="AJ148" i="17" s="1"/>
  <c r="AH140" i="16"/>
  <c r="AB143" i="16"/>
  <c r="AD49" i="3"/>
  <c r="G40" i="8"/>
  <c r="T51" i="3"/>
  <c r="T55" i="3" s="1"/>
  <c r="T59" i="3" s="1"/>
  <c r="R12" i="43" l="1"/>
  <c r="R44" i="43" s="1"/>
  <c r="K16" i="17"/>
  <c r="K148" i="17" s="1"/>
  <c r="J144" i="18"/>
  <c r="L13" i="18" s="1"/>
  <c r="I48" i="8"/>
  <c r="AH143" i="16"/>
  <c r="AJ143" i="16" s="1"/>
  <c r="AJ140" i="16"/>
  <c r="G42" i="8"/>
  <c r="G46" i="8" s="1"/>
  <c r="G49" i="8" s="1"/>
  <c r="AF49" i="3"/>
  <c r="AD51" i="3"/>
  <c r="T12" i="43" l="1"/>
  <c r="T44" i="43" s="1"/>
  <c r="M16" i="17"/>
  <c r="M148" i="17" s="1"/>
  <c r="L144" i="18"/>
  <c r="N13" i="18" s="1"/>
  <c r="AF51" i="3"/>
  <c r="AD55" i="3"/>
  <c r="AF55" i="3" s="1"/>
  <c r="V12" i="43" l="1"/>
  <c r="V44" i="43" s="1"/>
  <c r="X44" i="43" s="1"/>
  <c r="O16" i="17"/>
  <c r="O148" i="17" s="1"/>
  <c r="Y148" i="17"/>
  <c r="AD59" i="3"/>
  <c r="AF59" i="3" s="1"/>
  <c r="Q16" i="17" l="1"/>
  <c r="Q148" i="17" s="1"/>
  <c r="S16" i="17" s="1"/>
  <c r="S148" i="17" s="1"/>
  <c r="U16" i="17" s="1"/>
  <c r="U148" i="17" s="1"/>
  <c r="W16" i="17" s="1"/>
  <c r="W148" i="17" s="1"/>
  <c r="N144" i="18"/>
  <c r="P13" i="18" s="1"/>
  <c r="G31" i="9" l="1"/>
  <c r="P144" i="18" l="1"/>
  <c r="R13" i="18" s="1"/>
  <c r="G41" i="7"/>
  <c r="G43" i="9"/>
  <c r="G47" i="9" s="1"/>
  <c r="G50" i="9" s="1"/>
  <c r="G42" i="7"/>
  <c r="G43" i="7" l="1"/>
  <c r="R19" i="6"/>
  <c r="R144" i="18" l="1"/>
  <c r="T13" i="18" s="1"/>
  <c r="R21" i="5"/>
  <c r="R37" i="5"/>
  <c r="R26" i="6"/>
  <c r="R29" i="6" s="1"/>
  <c r="R34" i="6"/>
  <c r="Y51" i="3"/>
  <c r="Y21" i="3"/>
  <c r="Y43" i="3"/>
  <c r="R32" i="5" l="1"/>
  <c r="R42" i="5" s="1"/>
  <c r="R45" i="5" s="1"/>
  <c r="R39" i="6"/>
  <c r="R42" i="6" s="1"/>
  <c r="Y46" i="3"/>
  <c r="Y55" i="3" l="1"/>
  <c r="T144" i="18"/>
  <c r="V13" i="18" s="1"/>
  <c r="O59" i="24"/>
  <c r="O63" i="24" s="1"/>
  <c r="O87" i="24" s="1"/>
  <c r="O98" i="24" s="1"/>
  <c r="O100" i="24" s="1"/>
  <c r="Q13" i="24" s="1"/>
  <c r="Y59" i="3" l="1"/>
  <c r="Q100" i="24"/>
  <c r="S13" i="24" s="1"/>
  <c r="V144" i="18" l="1"/>
  <c r="X13" i="18" s="1"/>
  <c r="D57" i="2" s="1"/>
  <c r="O98" i="23"/>
  <c r="M147"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I43" i="9"/>
  <c r="K43" i="9"/>
  <c r="S59" i="24"/>
  <c r="S63" i="24" s="1"/>
  <c r="S87" i="24" s="1"/>
  <c r="S98" i="24" s="1"/>
  <c r="S100" i="24" s="1"/>
  <c r="U13" i="24" s="1"/>
  <c r="C41" i="8"/>
  <c r="I41" i="8" s="1"/>
  <c r="C43" i="9"/>
  <c r="C41" i="7"/>
  <c r="I41" i="7" s="1"/>
  <c r="C42" i="7"/>
  <c r="I42" i="7" s="1"/>
  <c r="K31" i="9"/>
  <c r="E43" i="9"/>
  <c r="E42" i="7"/>
  <c r="K42" i="7" s="1"/>
  <c r="E41" i="8"/>
  <c r="K41" i="8" s="1"/>
  <c r="I47" i="9" l="1"/>
  <c r="I50" i="9" s="1"/>
  <c r="K47" i="9"/>
  <c r="K50" i="9" s="1"/>
  <c r="C47" i="9"/>
  <c r="C50" i="9" s="1"/>
  <c r="E47" i="9"/>
  <c r="E50" i="9" s="1"/>
  <c r="S59" i="23"/>
  <c r="E42" i="8"/>
  <c r="E46" i="8" s="1"/>
  <c r="E49" i="8" s="1"/>
  <c r="K43" i="7"/>
  <c r="E43" i="7"/>
  <c r="E47" i="7" s="1"/>
  <c r="E50" i="7" s="1"/>
  <c r="C42" i="8"/>
  <c r="C46" i="8" s="1"/>
  <c r="C49" i="8" s="1"/>
  <c r="K42" i="8"/>
  <c r="K46" i="8" s="1"/>
  <c r="K49" i="8" s="1"/>
  <c r="I43" i="7"/>
  <c r="C43" i="7"/>
  <c r="C47" i="7" s="1"/>
  <c r="C50" i="7" s="1"/>
  <c r="I42" i="8"/>
  <c r="I46" i="8" s="1"/>
  <c r="I49" i="8" s="1"/>
  <c r="S63" i="23" l="1"/>
  <c r="S87" i="23" s="1"/>
  <c r="S98" i="23" s="1"/>
  <c r="Q106" i="16"/>
  <c r="Q110" i="16" s="1"/>
  <c r="Q136" i="16" s="1"/>
  <c r="Q147" i="16" s="1"/>
  <c r="AB59" i="2" l="1"/>
  <c r="U59" i="24" l="1"/>
  <c r="U63" i="24" s="1"/>
  <c r="U87" i="24" s="1"/>
  <c r="U98" i="24" s="1"/>
  <c r="U100" i="24" s="1"/>
  <c r="W13" i="24" l="1"/>
  <c r="W100" i="24" s="1"/>
  <c r="Y13" i="24" s="1"/>
  <c r="U59" i="23"/>
  <c r="S106" i="16" l="1"/>
  <c r="S110" i="16" s="1"/>
  <c r="S136" i="16" s="1"/>
  <c r="S147" i="16" s="1"/>
  <c r="U63" i="23"/>
  <c r="U87" i="23" s="1"/>
  <c r="U98" i="23" s="1"/>
  <c r="AJ58" i="24" l="1"/>
  <c r="AI58" i="23"/>
  <c r="AJ59" i="24" l="1"/>
  <c r="AJ63" i="24" s="1"/>
  <c r="AL58" i="24"/>
  <c r="AE104" i="16"/>
  <c r="AI59" i="23"/>
  <c r="AG63" i="24"/>
  <c r="AD63" i="24"/>
  <c r="Y59" i="24"/>
  <c r="Y63" i="24" s="1"/>
  <c r="Y87" i="24" s="1"/>
  <c r="Y98" i="24" s="1"/>
  <c r="Y100" i="24" s="1"/>
  <c r="AA100" i="24" s="1"/>
  <c r="AD87" i="24" l="1"/>
  <c r="AD98" i="24" s="1"/>
  <c r="AL59" i="24"/>
  <c r="G27" i="14"/>
  <c r="G37" i="14" s="1"/>
  <c r="I37" i="14" s="1"/>
  <c r="I27" i="14"/>
  <c r="G23" i="13"/>
  <c r="K27" i="14"/>
  <c r="K37" i="14" s="1"/>
  <c r="K40" i="14" s="1"/>
  <c r="AG87" i="24"/>
  <c r="AL63" i="24"/>
  <c r="Y59" i="23"/>
  <c r="AF58" i="23"/>
  <c r="AF59" i="23" s="1"/>
  <c r="AD18" i="2"/>
  <c r="AD20" i="2" s="1"/>
  <c r="AD45" i="2" s="1"/>
  <c r="AD55" i="2" s="1"/>
  <c r="AD59" i="2" s="1"/>
  <c r="AI63" i="23"/>
  <c r="AI87" i="23" s="1"/>
  <c r="AI98" i="23" s="1"/>
  <c r="AE106" i="16"/>
  <c r="R18" i="2" l="1"/>
  <c r="P18" i="2"/>
  <c r="AE110" i="16"/>
  <c r="AE136" i="16" s="1"/>
  <c r="AE147" i="16" s="1"/>
  <c r="AE149" i="16" s="1"/>
  <c r="AL58" i="23"/>
  <c r="AN58" i="23" s="1"/>
  <c r="W106" i="16"/>
  <c r="W110" i="16" s="1"/>
  <c r="W136" i="16" s="1"/>
  <c r="W147" i="16" s="1"/>
  <c r="AB104" i="16"/>
  <c r="AJ87" i="24"/>
  <c r="AJ98" i="24" s="1"/>
  <c r="AJ100" i="24" s="1"/>
  <c r="AG98" i="24"/>
  <c r="Y63" i="23"/>
  <c r="Y87" i="23" s="1"/>
  <c r="Y98" i="23" s="1"/>
  <c r="G27" i="13"/>
  <c r="G37" i="13" s="1"/>
  <c r="G40" i="13" s="1"/>
  <c r="K23" i="13"/>
  <c r="G24" i="7"/>
  <c r="AI100" i="23"/>
  <c r="I40" i="14"/>
  <c r="G40" i="14"/>
  <c r="AD100" i="24" l="1"/>
  <c r="I24" i="7"/>
  <c r="I26" i="7" s="1"/>
  <c r="K24" i="7"/>
  <c r="K26" i="7" s="1"/>
  <c r="M23" i="13"/>
  <c r="M27" i="13" s="1"/>
  <c r="O23" i="13"/>
  <c r="O27" i="13" s="1"/>
  <c r="O37" i="13" s="1"/>
  <c r="O40" i="13" s="1"/>
  <c r="V18" i="2"/>
  <c r="AH104" i="16"/>
  <c r="AB106" i="16"/>
  <c r="AL87" i="24"/>
  <c r="AL59" i="23"/>
  <c r="AG100" i="24"/>
  <c r="AL98" i="24"/>
  <c r="G26" i="7"/>
  <c r="K27" i="13"/>
  <c r="K37" i="13" s="1"/>
  <c r="M37" i="13" s="1"/>
  <c r="AL100" i="24" l="1"/>
  <c r="G37" i="7"/>
  <c r="G47" i="7"/>
  <c r="G50" i="7" s="1"/>
  <c r="AN59" i="23"/>
  <c r="X18" i="2"/>
  <c r="M40" i="13"/>
  <c r="K40" i="13"/>
  <c r="AH106" i="16"/>
  <c r="AJ104" i="16"/>
  <c r="K37" i="7"/>
  <c r="K47" i="7"/>
  <c r="K50" i="7" s="1"/>
  <c r="I37" i="7"/>
  <c r="I47" i="7"/>
  <c r="I50" i="7" s="1"/>
  <c r="AG18" i="2" l="1"/>
  <c r="AI18" i="2"/>
  <c r="AJ106" i="16"/>
  <c r="E21" i="23"/>
  <c r="C33" i="16"/>
  <c r="C42" i="16" s="1"/>
  <c r="C60" i="16" s="1"/>
  <c r="C110" i="16" s="1"/>
  <c r="C136" i="16" s="1"/>
  <c r="C147" i="16" s="1"/>
  <c r="C149" i="16" s="1"/>
  <c r="AF21" i="23"/>
  <c r="R15" i="2" l="1"/>
  <c r="E16" i="16"/>
  <c r="E149" i="16" s="1"/>
  <c r="AB33" i="16"/>
  <c r="AH33" i="16" s="1"/>
  <c r="AJ33" i="16" s="1"/>
  <c r="E31" i="23"/>
  <c r="E63" i="23" s="1"/>
  <c r="E87" i="23" s="1"/>
  <c r="E98" i="23" s="1"/>
  <c r="E100" i="23" s="1"/>
  <c r="AL18" i="23"/>
  <c r="AN18" i="23" s="1"/>
  <c r="R29" i="15"/>
  <c r="X29" i="15" s="1"/>
  <c r="X38" i="15" s="1"/>
  <c r="AF31" i="23"/>
  <c r="AL21" i="23"/>
  <c r="AN21" i="23" s="1"/>
  <c r="G16" i="16" l="1"/>
  <c r="G149" i="16" s="1"/>
  <c r="G13" i="23"/>
  <c r="AB42" i="16"/>
  <c r="AB60" i="16" s="1"/>
  <c r="AB110" i="16" s="1"/>
  <c r="AB136" i="16" s="1"/>
  <c r="AH136" i="16" s="1"/>
  <c r="AJ136" i="16" s="1"/>
  <c r="R38" i="15"/>
  <c r="R58" i="15" s="1"/>
  <c r="AH29" i="15"/>
  <c r="AJ29" i="15" s="1"/>
  <c r="AH42" i="16"/>
  <c r="AH60" i="16" s="1"/>
  <c r="V15" i="2"/>
  <c r="V20" i="2" s="1"/>
  <c r="V45" i="2" s="1"/>
  <c r="V55" i="2" s="1"/>
  <c r="P20" i="2"/>
  <c r="P45" i="2" s="1"/>
  <c r="P55" i="2" s="1"/>
  <c r="AL31" i="23"/>
  <c r="AF63" i="23"/>
  <c r="AF87" i="23" s="1"/>
  <c r="AH38" i="15"/>
  <c r="AJ38" i="15" s="1"/>
  <c r="X58" i="15"/>
  <c r="AH58" i="15" s="1"/>
  <c r="AJ58" i="15" s="1"/>
  <c r="R20" i="2"/>
  <c r="R45" i="2" s="1"/>
  <c r="R55" i="2" s="1"/>
  <c r="X15" i="2"/>
  <c r="AF98" i="23" l="1"/>
  <c r="AF100" i="23" s="1"/>
  <c r="AN100" i="23" s="1"/>
  <c r="I16" i="16"/>
  <c r="I149" i="16" s="1"/>
  <c r="G100" i="23"/>
  <c r="X57" i="2"/>
  <c r="AB147" i="16"/>
  <c r="AJ42" i="16"/>
  <c r="AH110" i="16"/>
  <c r="AJ110" i="16" s="1"/>
  <c r="AJ60" i="16"/>
  <c r="AL63" i="23"/>
  <c r="AN31" i="23"/>
  <c r="X20" i="2"/>
  <c r="AG15" i="2"/>
  <c r="AG20" i="2" s="1"/>
  <c r="AI15" i="2"/>
  <c r="AL98" i="23" l="1"/>
  <c r="AL100" i="23" s="1"/>
  <c r="AB149" i="16"/>
  <c r="K16" i="16"/>
  <c r="K149" i="16" s="1"/>
  <c r="I13" i="23"/>
  <c r="AI57" i="2"/>
  <c r="AG57" i="2"/>
  <c r="R59" i="2"/>
  <c r="AH147" i="16"/>
  <c r="AJ147" i="16" s="1"/>
  <c r="AI20" i="2"/>
  <c r="X45" i="2"/>
  <c r="AN63" i="23"/>
  <c r="AL87" i="23"/>
  <c r="AN87" i="23" s="1"/>
  <c r="AN98" i="23" l="1"/>
  <c r="AH149" i="16"/>
  <c r="AJ149" i="16" s="1"/>
  <c r="M16" i="16"/>
  <c r="M149" i="16" s="1"/>
  <c r="I100" i="23"/>
  <c r="X55" i="2"/>
  <c r="AG45" i="2"/>
  <c r="AG55" i="2" s="1"/>
  <c r="AG59" i="2" s="1"/>
  <c r="AI45" i="2"/>
  <c r="O16" i="16" l="1"/>
  <c r="O149" i="16" s="1"/>
  <c r="K13" i="23"/>
  <c r="AI55" i="2"/>
  <c r="X59" i="2"/>
  <c r="AI59" i="2" s="1"/>
  <c r="Q16" i="16" l="1"/>
  <c r="Q149" i="16" s="1"/>
  <c r="K100" i="23"/>
  <c r="O35" i="40"/>
  <c r="S16" i="16" l="1"/>
  <c r="S149" i="16" s="1"/>
  <c r="O46" i="40"/>
  <c r="O48" i="40" s="1"/>
  <c r="M13" i="23"/>
  <c r="U16" i="16" l="1"/>
  <c r="U149" i="16" s="1"/>
  <c r="M100" i="23"/>
  <c r="W16" i="16" l="1"/>
  <c r="W149" i="16" s="1"/>
  <c r="Y149" i="16" s="1"/>
  <c r="O13" i="23"/>
  <c r="O100" i="23" l="1"/>
  <c r="Q13" i="23" l="1"/>
  <c r="Q100" i="23" l="1"/>
  <c r="S13" i="23" l="1"/>
  <c r="S100" i="23" l="1"/>
  <c r="U13" i="23" l="1"/>
  <c r="U100" i="23" l="1"/>
  <c r="W13" i="23" l="1"/>
  <c r="W100" i="23" l="1"/>
  <c r="Y13" i="23" l="1"/>
  <c r="Y100" i="23" l="1"/>
  <c r="AA100" i="23" s="1"/>
  <c r="P57" i="2"/>
  <c r="V57" i="2" l="1"/>
  <c r="V59" i="2" s="1"/>
  <c r="P59" i="2"/>
</calcChain>
</file>

<file path=xl/sharedStrings.xml><?xml version="1.0" encoding="utf-8"?>
<sst xmlns="http://schemas.openxmlformats.org/spreadsheetml/2006/main" count="4332" uniqueCount="1597">
  <si>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</si>
  <si>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</si>
  <si>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</si>
  <si>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</si>
  <si>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</si>
  <si>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</si>
  <si>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</si>
  <si>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</si>
  <si>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</si>
  <si>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</si>
  <si>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</si>
  <si>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</si>
  <si>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</si>
  <si>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</si>
  <si>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</si>
  <si>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</si>
  <si>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</si>
  <si>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</si>
  <si>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</si>
  <si>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</si>
  <si>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</si>
  <si>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</si>
  <si>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</si>
  <si>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</si>
  <si>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</si>
  <si>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</si>
  <si>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</si>
  <si>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</si>
  <si>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</si>
  <si>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</si>
  <si>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</si>
  <si>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</si>
  <si>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</si>
  <si>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</si>
  <si>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</si>
  <si>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</si>
  <si>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</si>
  <si>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</si>
  <si>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</si>
  <si>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</si>
  <si>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</si>
  <si>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</si>
  <si>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</si>
  <si>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</si>
  <si>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</si>
  <si>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</si>
  <si>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</si>
  <si>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</si>
  <si>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</si>
  <si>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</si>
  <si>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</si>
  <si>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</si>
  <si>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</si>
  <si>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</si>
  <si>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</si>
  <si>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</si>
  <si>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</si>
  <si>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</si>
  <si>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</si>
  <si>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</si>
  <si>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</si>
  <si>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</si>
  <si>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</si>
  <si>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</si>
  <si>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</si>
  <si>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</si>
  <si>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</si>
  <si>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</si>
  <si>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</si>
  <si>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</si>
  <si>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</si>
  <si>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</si>
  <si>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</si>
  <si>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</si>
  <si>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</si>
  <si>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</si>
  <si>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</si>
  <si>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</si>
  <si>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</si>
  <si>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</si>
  <si>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</si>
  <si>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</si>
  <si>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</si>
  <si>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</si>
  <si>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</si>
  <si>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</si>
  <si>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</si>
  <si>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</si>
  <si>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</si>
  <si>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</si>
  <si>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</si>
  <si>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</si>
  <si>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</si>
  <si>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</si>
  <si>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</si>
  <si>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</si>
  <si>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</si>
  <si>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</si>
  <si>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</si>
  <si>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</si>
  <si>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</si>
  <si>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</si>
  <si>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</si>
  <si>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</si>
  <si>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</si>
  <si>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</si>
  <si>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</si>
  <si>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</si>
  <si>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</si>
  <si>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</si>
  <si>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</si>
  <si>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</si>
  <si>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</si>
  <si>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</si>
  <si>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</si>
  <si>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</si>
  <si>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</si>
  <si>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</si>
  <si>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</si>
  <si>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</si>
  <si>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</si>
  <si>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</si>
  <si>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</si>
  <si>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</si>
  <si>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</si>
  <si>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</si>
  <si>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</si>
  <si>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</si>
  <si>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</si>
  <si>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</si>
  <si>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</si>
  <si>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</si>
  <si>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</si>
  <si>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</si>
  <si>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</si>
  <si>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</si>
  <si>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</si>
  <si>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</si>
  <si>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</si>
  <si>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</si>
  <si>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</si>
  <si>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</si>
  <si>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</si>
  <si>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</si>
  <si>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</si>
  <si>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</si>
  <si>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</si>
  <si>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</si>
  <si>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</si>
  <si>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</si>
  <si>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</si>
  <si>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</si>
  <si>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</si>
  <si>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</si>
  <si>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</si>
  <si>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</si>
  <si>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</si>
  <si>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</si>
  <si>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</si>
  <si>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</si>
  <si>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</si>
  <si>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</si>
  <si>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</si>
  <si>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</si>
  <si>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</si>
  <si>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</si>
  <si>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</si>
  <si>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</si>
  <si>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</si>
  <si>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</si>
  <si>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</si>
  <si>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</si>
  <si>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</si>
  <si>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</si>
  <si>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</si>
  <si>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</si>
  <si>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</si>
  <si>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</si>
  <si>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</si>
  <si>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</si>
  <si>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</si>
  <si>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</si>
  <si>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</si>
  <si>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</si>
  <si>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</si>
  <si>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</si>
  <si>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</si>
  <si>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</si>
  <si>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</si>
  <si>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</si>
  <si>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</si>
  <si>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</si>
  <si>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</si>
  <si>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</si>
  <si>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</si>
  <si>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</si>
  <si>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</si>
  <si>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Dedicated Infrastructure Investment Fund</t>
  </si>
  <si>
    <t>Mass Transportation Financial Assistance</t>
  </si>
  <si>
    <t>Mass Transportation Operating Assistance Fund</t>
  </si>
  <si>
    <t>New York City County Clerks' Operations Offset</t>
  </si>
  <si>
    <t>Recruitment Incentive Account</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</si>
  <si>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</si>
  <si>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</si>
  <si>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</si>
  <si>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</si>
  <si>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</si>
  <si>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</si>
  <si>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</si>
  <si>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</si>
  <si>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</si>
  <si>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</si>
  <si>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</si>
  <si>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</si>
  <si>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</si>
  <si>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</si>
  <si>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</si>
  <si>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</si>
  <si>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</si>
  <si>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</si>
  <si>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</si>
  <si>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</si>
  <si>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</si>
  <si>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</si>
  <si>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</si>
  <si>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</si>
  <si>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</si>
  <si>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</si>
  <si>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</si>
  <si>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</si>
  <si>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</si>
  <si>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</si>
  <si>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</si>
  <si>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</si>
  <si>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</si>
  <si>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</si>
  <si>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</si>
  <si>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</si>
  <si>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</si>
  <si>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</si>
  <si>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</si>
  <si>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</si>
  <si>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</si>
  <si>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</si>
  <si>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</si>
  <si>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</si>
  <si>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</si>
  <si>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</si>
  <si>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</si>
  <si>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</si>
  <si>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</si>
  <si>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</si>
  <si>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</si>
  <si>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</si>
  <si>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</si>
  <si>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</si>
  <si>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</si>
  <si>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</si>
  <si>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</si>
  <si>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</si>
  <si>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</si>
  <si>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</si>
  <si>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</si>
  <si>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</si>
  <si>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</si>
  <si>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</si>
  <si>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</si>
  <si>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</si>
  <si>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</si>
  <si>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</si>
  <si>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</si>
  <si>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</si>
  <si>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</si>
  <si>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</si>
  <si>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</si>
  <si>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</si>
  <si>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</si>
  <si>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</si>
  <si>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</si>
  <si>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</si>
  <si>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</si>
  <si>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</si>
  <si>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</si>
  <si>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</si>
  <si>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</si>
  <si>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</si>
  <si>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</si>
  <si>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</si>
  <si>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</si>
  <si>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</si>
  <si>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</si>
  <si>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</si>
  <si>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</si>
  <si>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</si>
  <si>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</si>
  <si>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</si>
  <si>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</si>
  <si>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</si>
  <si>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</si>
  <si>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</si>
  <si>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</si>
  <si>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</si>
  <si>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</si>
  <si>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</si>
  <si>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</si>
  <si>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</si>
  <si>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</si>
  <si>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</si>
  <si>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</si>
  <si>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</si>
  <si>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</si>
  <si>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</si>
  <si>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</si>
  <si>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</si>
  <si>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</si>
  <si>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</si>
  <si>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</si>
  <si>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</si>
  <si>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</si>
  <si>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</si>
  <si>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</si>
  <si>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</si>
  <si>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</si>
  <si>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</si>
  <si>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</si>
  <si>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</si>
  <si>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</si>
  <si>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</si>
  <si>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</si>
  <si>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</si>
  <si>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</si>
  <si>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</si>
  <si>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</si>
  <si>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</si>
  <si>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</si>
  <si>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</si>
  <si>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</si>
  <si>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</si>
  <si>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</si>
  <si>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</si>
  <si>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</si>
  <si>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</si>
  <si>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</si>
  <si>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</si>
  <si>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</si>
  <si>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</si>
  <si>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</si>
  <si>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</si>
  <si>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</si>
  <si>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</si>
  <si>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</si>
  <si>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</si>
  <si>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</si>
  <si>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</si>
  <si>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</si>
  <si>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</si>
  <si>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</si>
  <si>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</si>
  <si>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</si>
  <si>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</si>
  <si>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</si>
  <si>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</si>
  <si>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</si>
  <si>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</si>
  <si>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</si>
  <si>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</si>
  <si>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</si>
  <si>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</si>
  <si>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</si>
  <si>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</si>
  <si>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</si>
  <si>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</si>
  <si>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</si>
  <si>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</si>
  <si>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</si>
  <si>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</si>
  <si>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</si>
  <si>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</si>
  <si>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</si>
  <si>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</si>
  <si>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</si>
  <si>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</si>
  <si>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</si>
  <si>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</si>
  <si>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</si>
  <si>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</si>
  <si>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</si>
  <si>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</si>
  <si>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</si>
  <si>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</si>
  <si>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</si>
  <si>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</si>
  <si>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</si>
  <si>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</si>
  <si>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</si>
  <si>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</si>
  <si>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</si>
  <si>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</si>
  <si>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</si>
  <si>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</si>
  <si>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</si>
  <si>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</si>
  <si>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</si>
  <si>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</si>
  <si>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</si>
  <si>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</si>
  <si>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</si>
  <si>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</si>
  <si>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</si>
  <si>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</si>
  <si>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</si>
  <si>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</si>
  <si>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</si>
  <si>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</si>
  <si>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</si>
  <si>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</si>
  <si>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</si>
  <si>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</si>
  <si>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</si>
  <si>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</si>
  <si>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</si>
  <si>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</si>
  <si>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</si>
  <si>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</si>
  <si>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</si>
  <si>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</si>
  <si>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</si>
  <si>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</si>
  <si>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</si>
  <si>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</si>
  <si>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</si>
  <si>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</si>
  <si>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</si>
  <si>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</si>
  <si>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</si>
  <si>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</si>
  <si>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</si>
  <si>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</si>
  <si>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</si>
  <si>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</si>
  <si>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</si>
  <si>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</si>
  <si>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</si>
  <si>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</si>
  <si>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</si>
  <si>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</si>
  <si>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</si>
  <si>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</si>
  <si>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</si>
  <si>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</si>
  <si>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</si>
  <si>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</si>
  <si>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</si>
  <si>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</si>
  <si>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</si>
  <si>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</si>
  <si>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</si>
  <si>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</si>
  <si>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</si>
  <si>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</si>
  <si>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</si>
  <si>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</si>
  <si>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</si>
  <si>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</si>
  <si>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</si>
  <si>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</si>
  <si>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</si>
  <si>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</si>
  <si>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</si>
  <si>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</si>
  <si>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</si>
  <si>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</si>
  <si>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</si>
  <si>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</si>
  <si>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</si>
  <si>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</si>
  <si>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</si>
  <si>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</si>
  <si>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</si>
  <si>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</si>
  <si>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</si>
  <si>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</si>
  <si>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</si>
  <si>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</si>
  <si>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</si>
  <si>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</si>
  <si>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</si>
  <si>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</si>
  <si>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</si>
  <si>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</si>
  <si>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</si>
  <si>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</si>
  <si>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</si>
  <si>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</si>
  <si>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</si>
  <si>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</si>
  <si>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</si>
  <si>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</si>
  <si>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</si>
  <si>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</si>
  <si>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</si>
  <si>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</si>
  <si>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</si>
  <si>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</si>
  <si>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</si>
  <si>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</si>
  <si>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</si>
  <si>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</si>
  <si>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</si>
  <si>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</si>
  <si>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</si>
  <si>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</si>
  <si>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</si>
  <si>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</si>
  <si>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</si>
  <si>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</si>
  <si>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</si>
  <si>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</si>
  <si>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</si>
  <si>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</si>
  <si>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</si>
  <si>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</si>
  <si>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</si>
  <si>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</si>
  <si>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</si>
  <si>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</si>
  <si>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</si>
  <si>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</si>
  <si>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</si>
  <si>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</si>
  <si>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</si>
  <si>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</si>
  <si>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</si>
  <si>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</si>
  <si>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</si>
  <si>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</si>
  <si>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</si>
  <si>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</si>
  <si>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</si>
  <si>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</si>
  <si>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</si>
  <si>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</si>
  <si>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</si>
  <si>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</si>
  <si>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</si>
  <si>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</si>
  <si>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</si>
  <si>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</si>
  <si>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</si>
  <si>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</si>
  <si>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</si>
  <si>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</si>
  <si>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</si>
  <si>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</si>
  <si>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</si>
  <si>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</si>
  <si>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</si>
  <si>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</si>
  <si>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</si>
  <si>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</si>
  <si>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</si>
  <si>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</si>
  <si>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</si>
  <si>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</si>
  <si>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</si>
  <si>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</si>
  <si>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</si>
  <si>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</si>
  <si>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</si>
  <si>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</si>
  <si>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</si>
  <si>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</si>
  <si>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</si>
  <si>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</si>
  <si>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</si>
  <si>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</si>
  <si>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</si>
  <si>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</si>
  <si>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</si>
  <si>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</si>
  <si>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</si>
  <si>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</si>
  <si>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</si>
  <si>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</si>
  <si>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</si>
  <si>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</si>
  <si>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</si>
  <si>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</si>
  <si>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</si>
  <si>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</si>
  <si>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</si>
  <si>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</si>
  <si>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</si>
  <si>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</si>
  <si>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</si>
  <si>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</si>
  <si>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</si>
  <si>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</si>
  <si>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</si>
  <si>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</si>
  <si>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</si>
  <si>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</si>
  <si>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</si>
  <si>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</si>
  <si>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</si>
  <si>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</si>
  <si>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</si>
  <si>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</si>
  <si>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</si>
  <si>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</si>
  <si>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</si>
  <si>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</si>
  <si>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</si>
  <si>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</si>
  <si>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</si>
  <si>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</si>
  <si>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</si>
  <si>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</si>
  <si>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</si>
  <si>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</si>
  <si>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</si>
  <si>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</si>
  <si>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</si>
  <si>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</si>
  <si>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</si>
  <si>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</si>
  <si>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</si>
  <si>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</si>
  <si>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</si>
  <si>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</si>
  <si>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</si>
  <si>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</si>
  <si>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</si>
  <si>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</si>
  <si>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</si>
  <si>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</si>
  <si>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</si>
  <si>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</si>
  <si>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</si>
  <si>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</si>
  <si>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</si>
  <si>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</si>
  <si>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</si>
  <si>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</si>
  <si>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</si>
  <si>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</si>
  <si>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</si>
  <si>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</si>
  <si>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</si>
  <si>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</si>
  <si>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</si>
  <si>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</si>
  <si>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</si>
  <si>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</si>
  <si>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</si>
  <si>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</si>
  <si>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</si>
  <si>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</si>
  <si>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</si>
  <si>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</si>
  <si>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</si>
  <si>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</si>
  <si>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</si>
  <si>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</si>
  <si>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</si>
  <si>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</si>
  <si>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</si>
  <si>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</si>
  <si>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</si>
  <si>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</si>
  <si>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</si>
  <si>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</si>
  <si>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</si>
  <si>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</si>
  <si>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</si>
  <si>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</si>
  <si>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</si>
  <si>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</si>
  <si>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</si>
  <si>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</si>
  <si>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</si>
  <si>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</si>
  <si>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</si>
  <si>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</si>
  <si>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</si>
  <si>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</si>
  <si>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</si>
  <si>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</si>
  <si>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</si>
  <si>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</si>
  <si>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</si>
  <si>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</si>
  <si>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</si>
  <si>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</si>
  <si>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</si>
  <si>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</si>
  <si>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</si>
  <si>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</si>
  <si>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</si>
  <si>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</si>
  <si>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</si>
  <si>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</si>
  <si>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</si>
  <si>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</si>
  <si>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</si>
  <si>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</si>
  <si>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</si>
  <si>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</si>
  <si>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</si>
  <si>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</si>
  <si>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</si>
  <si>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</si>
  <si>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</si>
  <si>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</si>
  <si>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</si>
  <si>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</si>
  <si>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</si>
  <si>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</si>
  <si>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</si>
  <si>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</si>
  <si>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</si>
  <si>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</si>
  <si>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</si>
  <si>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</si>
  <si>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</si>
  <si>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</si>
  <si>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</si>
  <si>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</si>
  <si>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</si>
  <si>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</si>
  <si>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</si>
  <si>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</si>
  <si>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</si>
  <si>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</si>
  <si>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</si>
  <si>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</si>
  <si>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</si>
  <si>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</si>
  <si>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</si>
  <si>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</si>
  <si>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</si>
  <si>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</si>
  <si>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</si>
  <si>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</si>
  <si>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</si>
  <si>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</si>
  <si>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</si>
  <si>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</si>
  <si>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</si>
  <si>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</si>
  <si>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</si>
  <si>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</si>
  <si>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</si>
  <si>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</si>
  <si>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</si>
  <si>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</si>
  <si>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</si>
  <si>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</si>
  <si>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</si>
  <si>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</si>
  <si>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</si>
  <si>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</si>
  <si>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</si>
  <si>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</si>
  <si>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</si>
  <si>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</si>
  <si>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</si>
  <si>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</si>
  <si>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</si>
  <si>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</si>
  <si>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</si>
  <si>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</si>
  <si>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</si>
  <si>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</si>
  <si>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</si>
  <si>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</si>
  <si>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</si>
  <si>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</si>
  <si>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</si>
  <si>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</si>
  <si>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</si>
  <si>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</si>
  <si>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</si>
  <si>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</si>
  <si>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</si>
  <si>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</si>
  <si>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</si>
  <si>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</si>
  <si>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</si>
  <si>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</si>
  <si>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</si>
  <si>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</si>
  <si>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</si>
  <si>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</si>
  <si>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</si>
  <si>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</si>
  <si>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</si>
  <si>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</si>
  <si>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</si>
  <si>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</si>
  <si>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</si>
  <si>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</si>
  <si>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</si>
  <si>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</si>
  <si>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</si>
  <si>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</si>
  <si>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</si>
  <si>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</si>
  <si>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</si>
  <si>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</si>
  <si>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</si>
  <si>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</si>
  <si>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</si>
  <si>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</si>
  <si>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</si>
  <si>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</si>
  <si>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</si>
  <si>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</si>
  <si>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</si>
  <si>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</si>
  <si>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</si>
  <si>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</si>
  <si>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</si>
  <si>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</si>
  <si>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</si>
  <si>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</si>
  <si>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</si>
  <si>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</si>
  <si>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</si>
  <si>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</si>
  <si>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</si>
  <si>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</si>
  <si>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</si>
  <si>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</si>
  <si>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</si>
  <si>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</si>
  <si>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</si>
  <si>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</si>
  <si>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</si>
  <si>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</si>
  <si>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</si>
  <si>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</si>
  <si>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</si>
  <si>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</si>
  <si>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</si>
  <si>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</si>
  <si>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</si>
  <si>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</si>
  <si>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</si>
  <si>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</si>
  <si>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</si>
  <si>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</si>
  <si>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</si>
  <si>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</si>
  <si>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</si>
  <si>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</si>
  <si>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</si>
  <si>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</si>
  <si>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</si>
  <si>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</si>
  <si>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</si>
  <si>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</si>
  <si>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</si>
  <si>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</si>
  <si>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</si>
  <si>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</si>
  <si>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</si>
  <si>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</si>
  <si>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</si>
  <si>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</si>
  <si>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</si>
  <si>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</si>
  <si>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</si>
  <si>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</si>
  <si>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</si>
  <si>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</si>
  <si>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</si>
  <si>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</si>
  <si>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</si>
  <si>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</si>
  <si>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</si>
  <si>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</si>
  <si>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</si>
  <si>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</si>
  <si>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</si>
  <si>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</si>
  <si>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</si>
  <si>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</si>
  <si>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</si>
  <si>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</si>
  <si>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</si>
  <si>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</si>
  <si>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</si>
  <si>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</si>
  <si>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</si>
  <si>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</si>
  <si>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</si>
  <si>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</si>
  <si>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</si>
  <si>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</si>
  <si>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</si>
  <si>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</si>
  <si>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</si>
  <si>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</si>
  <si>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</si>
  <si>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</si>
  <si>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</si>
  <si>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</si>
  <si>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</si>
  <si>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</si>
  <si>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</si>
  <si>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</si>
  <si>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</si>
  <si>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</si>
  <si>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</si>
  <si>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</si>
  <si>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</si>
  <si>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</si>
  <si>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</si>
  <si>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</si>
  <si>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</si>
  <si>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</si>
  <si>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</si>
  <si>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</si>
  <si>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</si>
  <si>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</si>
  <si>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</si>
  <si>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</si>
  <si>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</si>
  <si>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</si>
  <si>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</si>
  <si>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</si>
  <si>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</si>
  <si>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</si>
  <si>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</si>
  <si>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</si>
  <si>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</si>
  <si>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</si>
  <si>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</si>
  <si>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</si>
  <si>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</si>
  <si>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</si>
  <si>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</si>
  <si>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</si>
  <si>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</si>
  <si>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</si>
  <si>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</si>
  <si>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</si>
  <si>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</si>
  <si>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</si>
  <si>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</si>
  <si>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</si>
  <si>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</si>
  <si>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</si>
  <si>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</si>
  <si>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</si>
  <si>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</si>
  <si>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</si>
  <si>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</si>
  <si>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</si>
  <si>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</si>
  <si>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</si>
  <si>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</si>
  <si>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</si>
  <si>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</si>
  <si>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</si>
  <si>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</si>
  <si>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</si>
  <si>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</si>
  <si>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</si>
  <si>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</si>
  <si>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</si>
  <si>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</si>
  <si>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</si>
  <si>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</si>
  <si>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</si>
  <si>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</si>
  <si>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</si>
  <si>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</si>
  <si>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</si>
  <si>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</si>
  <si>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</si>
  <si>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</si>
  <si>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</si>
  <si>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</si>
  <si>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</si>
  <si>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</si>
  <si>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</si>
  <si>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</si>
  <si>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</si>
  <si>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</si>
  <si>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</si>
  <si>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</si>
  <si>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</si>
  <si>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</si>
  <si>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</si>
  <si>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</si>
  <si>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</si>
  <si>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</si>
  <si>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</si>
  <si>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</si>
  <si>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</si>
  <si>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</si>
  <si>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</si>
  <si>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</si>
  <si>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</si>
  <si>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</si>
  <si>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</si>
  <si>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</si>
  <si>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</si>
  <si>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</si>
  <si>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</si>
  <si>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</si>
  <si>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</si>
  <si>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</si>
  <si>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</si>
  <si>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</si>
  <si>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</si>
  <si>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</si>
  <si>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</si>
  <si>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</si>
  <si>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</si>
  <si>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</si>
  <si>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</si>
  <si>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</si>
  <si>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</si>
  <si>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</si>
  <si>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</si>
  <si>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</si>
  <si>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</si>
  <si>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</si>
  <si>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</si>
  <si>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</si>
  <si>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</si>
  <si>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</si>
  <si>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</si>
  <si>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</si>
  <si>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</si>
  <si>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</si>
  <si>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</si>
  <si>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</si>
  <si>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</si>
  <si>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</si>
  <si>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</si>
  <si>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</si>
  <si>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</si>
  <si>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</si>
  <si>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</si>
  <si>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</si>
  <si>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</si>
  <si>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</si>
  <si>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</si>
  <si>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</si>
  <si>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</si>
  <si>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</si>
  <si>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</si>
  <si>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</si>
  <si>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</si>
  <si>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</si>
  <si>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</si>
  <si>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</si>
  <si>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</si>
  <si>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</si>
  <si>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</si>
  <si>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</si>
  <si>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</si>
  <si>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</si>
  <si>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</si>
  <si>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</si>
  <si>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</si>
  <si>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</si>
  <si>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</si>
  <si>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</si>
  <si>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</si>
  <si>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</si>
  <si>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</si>
  <si>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</si>
  <si>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</si>
  <si>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</si>
  <si>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</si>
  <si>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</si>
  <si>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</si>
  <si>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</si>
  <si>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</si>
  <si>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</si>
  <si>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</si>
  <si>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</si>
  <si>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</si>
  <si>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</si>
  <si>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</si>
  <si>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</si>
  <si>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</si>
  <si>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</si>
  <si>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</si>
  <si>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</si>
  <si>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</si>
  <si>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</si>
  <si>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</si>
  <si>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</si>
  <si>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</si>
  <si>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</si>
  <si>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</si>
  <si>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</si>
  <si>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</si>
  <si>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</si>
  <si>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</si>
  <si>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</si>
  <si>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</si>
  <si>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</si>
  <si>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</si>
  <si>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</si>
  <si>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</si>
  <si>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</si>
  <si>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</si>
  <si>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</si>
  <si>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</si>
  <si>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</si>
  <si>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</si>
  <si>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</si>
  <si>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</si>
  <si>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</si>
  <si>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</si>
  <si>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</si>
  <si>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</si>
  <si>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</si>
  <si>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</si>
  <si>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</si>
  <si>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</si>
  <si>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</si>
  <si>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</si>
  <si>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</si>
  <si>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</si>
  <si>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</si>
  <si>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</si>
  <si>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</si>
  <si>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</si>
  <si>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</si>
  <si>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</si>
  <si>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</si>
  <si>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</si>
  <si>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</si>
  <si>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</si>
  <si>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</si>
  <si>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</si>
  <si>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</si>
  <si>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</si>
  <si>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</si>
  <si>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</si>
  <si>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</si>
  <si>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</si>
  <si>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</si>
  <si>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</si>
  <si>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</si>
  <si>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</si>
  <si>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</si>
  <si>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</si>
  <si>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</si>
  <si>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</si>
  <si>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</si>
  <si>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</si>
  <si>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</si>
  <si>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</si>
  <si>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</si>
  <si>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</si>
  <si>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</si>
  <si>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</si>
  <si>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</si>
  <si>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</si>
  <si>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</si>
  <si>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</si>
  <si>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</si>
  <si>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</si>
  <si>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</si>
  <si>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</si>
  <si>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</si>
  <si>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</si>
  <si>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</si>
  <si>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</si>
  <si>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</si>
  <si>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</si>
  <si>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</si>
  <si>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</si>
  <si>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</si>
  <si>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</si>
  <si>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</si>
  <si>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</si>
  <si>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</si>
  <si>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</si>
  <si>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</si>
  <si>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</si>
  <si>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</si>
  <si>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</si>
  <si>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</si>
  <si>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</si>
  <si>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</si>
  <si>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</si>
  <si>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</si>
  <si>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</si>
  <si>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</si>
  <si>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</si>
  <si>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</si>
  <si>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</si>
  <si>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</si>
  <si>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</si>
  <si>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</si>
  <si>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</si>
  <si>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</si>
  <si>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</si>
  <si>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</si>
  <si>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</si>
  <si>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</si>
  <si>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</si>
  <si>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</si>
  <si>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</si>
  <si>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</si>
  <si>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</si>
  <si>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</si>
  <si>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</si>
  <si>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</si>
  <si>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</si>
  <si>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</si>
  <si>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</si>
  <si>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</si>
  <si>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</si>
  <si>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</si>
  <si>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</si>
  <si>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</si>
  <si>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</si>
  <si>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</si>
  <si>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</si>
  <si>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</si>
  <si>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</si>
  <si>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</si>
  <si>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</si>
  <si>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</si>
  <si>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</si>
  <si>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</si>
  <si>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</si>
  <si>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</si>
  <si>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</si>
  <si>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</si>
  <si>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</si>
  <si>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</si>
  <si>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</si>
  <si>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</si>
  <si>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</si>
  <si>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</si>
  <si>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</si>
  <si>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</si>
  <si>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</si>
  <si>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</si>
  <si>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</si>
  <si>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</si>
  <si>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</si>
  <si>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</si>
  <si>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</si>
  <si>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</si>
  <si>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</si>
  <si>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</si>
  <si>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</si>
  <si>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</si>
  <si>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</si>
  <si>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</si>
  <si>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</si>
  <si>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</si>
  <si>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</si>
  <si>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</si>
  <si>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</si>
  <si>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</si>
  <si>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</si>
  <si>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</si>
  <si>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</si>
  <si>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</si>
  <si>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</si>
  <si>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</si>
  <si>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</si>
  <si>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</si>
  <si>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</si>
  <si>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</si>
  <si>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</si>
  <si>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</si>
  <si>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</si>
  <si>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</si>
  <si>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</si>
  <si>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</si>
  <si>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</si>
  <si>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</si>
  <si>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</si>
  <si>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</si>
  <si>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</si>
  <si>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</si>
  <si>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</si>
  <si>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</si>
  <si>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</si>
  <si>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</si>
  <si>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</si>
  <si>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</si>
  <si>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</si>
  <si>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</si>
  <si>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</si>
  <si>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</si>
  <si>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</si>
  <si>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</si>
  <si>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</si>
  <si>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</si>
  <si>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</si>
  <si>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</si>
  <si>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</si>
  <si>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</si>
  <si>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</si>
  <si>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</si>
  <si>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</si>
  <si>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</si>
  <si>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</si>
  <si>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</si>
  <si>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</si>
  <si>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</si>
  <si>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</si>
  <si>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</si>
  <si>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</si>
  <si>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</si>
  <si>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</si>
  <si>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</si>
  <si>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</si>
  <si>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</si>
  <si>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</si>
  <si>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</si>
  <si>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</si>
  <si>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</si>
  <si>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</si>
  <si>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</si>
  <si>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</si>
  <si>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</si>
  <si>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</si>
  <si>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</si>
  <si>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</si>
  <si>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</si>
  <si>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</si>
  <si>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</si>
  <si>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</si>
  <si>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</si>
  <si>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</si>
  <si>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</si>
  <si>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</si>
  <si>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</si>
  <si>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</si>
  <si>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</si>
  <si>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</si>
  <si>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</si>
  <si>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</si>
  <si>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</si>
  <si>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</si>
  <si>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</si>
  <si>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</si>
  <si>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</si>
  <si>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</si>
  <si>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</si>
  <si>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</si>
  <si>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</si>
  <si>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</si>
  <si>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</si>
  <si>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</si>
  <si>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</si>
  <si>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</si>
  <si>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</si>
  <si>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</si>
  <si>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</si>
  <si>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</si>
  <si>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</si>
  <si>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</si>
  <si>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</si>
  <si>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</si>
  <si>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</si>
  <si>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</si>
  <si>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</si>
  <si>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</si>
  <si>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</si>
  <si>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</si>
  <si>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</si>
  <si>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</si>
  <si>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</si>
  <si>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</si>
  <si>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</si>
  <si>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</si>
  <si>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</si>
  <si>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</si>
  <si>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</si>
  <si>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</si>
  <si>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</si>
  <si>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</si>
  <si>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</si>
  <si>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</si>
  <si>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</si>
  <si>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</si>
  <si>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</si>
  <si>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</si>
  <si>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</si>
  <si>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</si>
  <si>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</si>
  <si>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</si>
  <si>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</si>
  <si>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</si>
  <si>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</si>
  <si>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</si>
  <si>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</si>
  <si>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</si>
  <si>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</si>
  <si>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</si>
  <si>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</si>
  <si>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</si>
  <si>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</si>
  <si>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</si>
  <si>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</si>
  <si>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</si>
  <si>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</si>
  <si>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</si>
  <si>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</si>
  <si>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</si>
  <si>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</si>
  <si>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</si>
  <si>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</si>
  <si>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</si>
  <si>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</si>
  <si>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</si>
  <si>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</si>
  <si>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</si>
  <si>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</si>
  <si>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</si>
  <si>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</si>
  <si>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</si>
  <si>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</si>
  <si>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</si>
  <si>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</si>
  <si>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</si>
  <si>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</si>
  <si>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</si>
  <si>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</si>
  <si>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</si>
  <si>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</si>
  <si>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</si>
  <si>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</si>
  <si>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</si>
  <si>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</si>
  <si>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</si>
  <si>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</si>
  <si>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</si>
  <si>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</si>
  <si>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</si>
  <si>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</si>
  <si>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</si>
  <si>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</si>
  <si>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</si>
  <si>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</si>
  <si>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</si>
  <si>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</si>
  <si>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</si>
  <si>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</si>
  <si>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</si>
  <si>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</si>
  <si>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</si>
  <si>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</si>
  <si>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</si>
  <si>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</si>
  <si>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</si>
  <si>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</si>
  <si>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</si>
  <si>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</si>
  <si>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</si>
  <si>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</si>
  <si>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</si>
  <si>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</si>
  <si>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</si>
  <si>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</si>
  <si>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</si>
  <si>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</si>
  <si>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</si>
  <si>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</si>
  <si>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</si>
  <si>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FISCAL YEAR 2024-2025</t>
  </si>
  <si>
    <t>Temporary Loans are authorized pursuant to Subdivision 5 of Section 4 of the State Finance Law and Chapter 56, Part XX, Section 1, of the Laws of 2024-25.</t>
  </si>
  <si>
    <t>New York Central Business District Trust Fund</t>
  </si>
  <si>
    <t xml:space="preserve">        by activities from dedicated revenue sources (including operating transfers from Federal Funds) and Debt Service Funds. </t>
  </si>
  <si>
    <t xml:space="preserve">(*) Includes amounts appropriated in SFY 2024-25, as well as prior year appropriations that were reappropriated. </t>
  </si>
  <si>
    <t xml:space="preserve">(*)    Source: 2024-25 Enacted Budget dated May 24, 2024.  </t>
  </si>
  <si>
    <t>Ryan White Clinics</t>
  </si>
  <si>
    <t>Environmental Protection Fund</t>
  </si>
  <si>
    <t>DEBT ISSUED</t>
  </si>
  <si>
    <t>American Rescue Plan</t>
  </si>
  <si>
    <t xml:space="preserve">Medical Assistance (OPWDD) </t>
  </si>
  <si>
    <t>DFS IT MODERNIZATION CAP ACCOUNT</t>
  </si>
  <si>
    <t>Dedicated Highway Bridge Trust Fund</t>
  </si>
  <si>
    <t>Dedicated Mass Transportation (Non MTA)</t>
  </si>
  <si>
    <t>Dedicated Mass Transportation - Railroad Account</t>
  </si>
  <si>
    <t>Dedicated Mass Transportation - Transit Authority Account</t>
  </si>
  <si>
    <t>State Parks Infrastructure</t>
  </si>
  <si>
    <t>Hazardous Waste Cleanup Account</t>
  </si>
  <si>
    <t>Correctional Facilities Capital Improvement</t>
  </si>
  <si>
    <t>Mental Hygiene Facilities Capital Improvement Fund</t>
  </si>
  <si>
    <t>Centralized Technology Services Account</t>
  </si>
  <si>
    <t>Business Service Center</t>
  </si>
  <si>
    <t>payments for patients residing in State-operated Health and Mental Hygiene facilities, SUNY Capital</t>
  </si>
  <si>
    <t>HESC Insurance Premium Account</t>
  </si>
  <si>
    <t>Business and Licensing Services Account</t>
  </si>
  <si>
    <t>Workers' Compensation Board Account</t>
  </si>
  <si>
    <t>Public Service Account</t>
  </si>
  <si>
    <t>Professional Medical Conduct Account</t>
  </si>
  <si>
    <t>Statewide Public Safety Communications Account</t>
  </si>
  <si>
    <t>System and Technology Account</t>
  </si>
  <si>
    <t>Miscellaneous State Special Revenue Fund</t>
  </si>
  <si>
    <t>State Lottery Fund</t>
  </si>
  <si>
    <t>Training and Education Program on OSHA</t>
  </si>
  <si>
    <t>Federal Employment and Training Grants</t>
  </si>
  <si>
    <t>Federal Health and Human Services Fund</t>
  </si>
  <si>
    <t>Unemployment Insurance Administration</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</si>
  <si>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</si>
  <si>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</si>
  <si>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</si>
  <si>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</si>
  <si>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</si>
  <si>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</si>
  <si>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</si>
  <si>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Healthcare Worker Bonuses</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</si>
  <si>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</si>
  <si>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</si>
  <si>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</si>
  <si>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</si>
  <si>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STATE OPERATING FUNDS (***)</t>
  </si>
  <si>
    <t xml:space="preserve">(***)   Includes transfers to the Department of Health Income Fund and the State University Income Fund representing payments </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</si>
  <si>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</si>
  <si>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</si>
  <si>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</si>
  <si>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</si>
  <si>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</si>
  <si>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</si>
  <si>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</si>
  <si>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</si>
  <si>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</si>
  <si>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Building Administration Account</t>
  </si>
  <si>
    <t>Health Insurance Revolving Fund</t>
  </si>
  <si>
    <t>Healthcare Stability Fund Account</t>
  </si>
  <si>
    <t>New York State Campaign Finance Account</t>
  </si>
  <si>
    <t>Federal Operating Grants</t>
  </si>
  <si>
    <t>reimbursed in future months from the sources indicated:</t>
  </si>
  <si>
    <t>NY RACING CAPITAL IMPROVEMENT</t>
  </si>
  <si>
    <t xml:space="preserve">Medical Assistance (OASAS) </t>
  </si>
  <si>
    <t>Housing Program Fund</t>
  </si>
  <si>
    <t>New York City Veterans - St. Albans</t>
  </si>
  <si>
    <t>New York State Veterans Home - Oxford</t>
  </si>
  <si>
    <t>Also included in Special Revenue funds are transfers to the General Fund from the following:</t>
  </si>
  <si>
    <t>Federal USDA / Food and Nutrition</t>
  </si>
  <si>
    <t>Unemployment Insurance, Interest &amp; Penalty</t>
  </si>
  <si>
    <t>2nd Quarter</t>
  </si>
  <si>
    <t>JULY - SEPTEMBER</t>
  </si>
  <si>
    <t xml:space="preserve">Healthcare Stability </t>
  </si>
  <si>
    <t>November 30, 2024</t>
  </si>
  <si>
    <t>December 31, 2024</t>
  </si>
  <si>
    <t>Office of Health Insurance</t>
  </si>
  <si>
    <t>3.</t>
  </si>
  <si>
    <t xml:space="preserve">A portion of Personal Income Tax receipts is transferred to the State Special Revenue School Tax Relief </t>
  </si>
  <si>
    <t>(STAR) Fund to be used to reimburse school districts for the STAR property tax exemptions for homeowners</t>
  </si>
  <si>
    <t>and payments to homeowners for the STAR Property Rebate Program.  School Tax Relief payments were</t>
  </si>
  <si>
    <t>(3)</t>
  </si>
  <si>
    <t>Charter School Stimulus</t>
  </si>
  <si>
    <t>SUNY Hospital IFR</t>
  </si>
  <si>
    <t>Public Work Enforcement Account</t>
  </si>
  <si>
    <t>Patron Services Account</t>
  </si>
  <si>
    <t xml:space="preserve">ENCON Special Revenue </t>
  </si>
  <si>
    <t>4.</t>
  </si>
  <si>
    <t>Recovery Funds (SLFRF).</t>
  </si>
  <si>
    <t>(4)</t>
  </si>
  <si>
    <t xml:space="preserve">In December 2024, $3,645.0m was transferred to the General Fund from the State and Local Fiscal </t>
  </si>
  <si>
    <t>January 31, 2025</t>
  </si>
  <si>
    <t>Entertainment Diversity Job Training Development</t>
  </si>
  <si>
    <t>3rd Quarter</t>
  </si>
  <si>
    <t>OCTOBER - DECEMBER</t>
  </si>
  <si>
    <t>and the General Debt Service Fund - Lease Purchase ($41.1m).</t>
  </si>
  <si>
    <t>FEB. 2025</t>
  </si>
  <si>
    <t>FEB. 28, 2025</t>
  </si>
  <si>
    <t>11 MOS. ENDED</t>
  </si>
  <si>
    <t>FOR ELEVEN MONTHS ENDED FEBRUARY 28, 2025</t>
  </si>
  <si>
    <t>February 28, 2025</t>
  </si>
  <si>
    <t>(**)   Source: 2025-26 Executive Budget with 30-day amendments dated February 20, 2025, which made no changes to the Executive Budget Financial Plan.</t>
  </si>
  <si>
    <t>Home Health rate Increase</t>
  </si>
  <si>
    <t>Personal Care Workforce Recruitment and Retention Rates</t>
  </si>
  <si>
    <t xml:space="preserve">As of February 28, 2025, $10,791,196.53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</si>
  <si>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operated health, mental hygiene and State University facilities to Debt Service funds ($10.1m), and  </t>
  </si>
  <si>
    <t xml:space="preserve">the State University Income Fund ($473.0m). </t>
  </si>
  <si>
    <t xml:space="preserve">the current fiscal quarter.  As of February 28, 2025 - pursuant to a certification of the Budget Director - </t>
  </si>
  <si>
    <t>the reserve amount is ($104.8m), which was funded by a transfer from the General Fund.</t>
  </si>
  <si>
    <t>Hazard Mitigation Revolving Loan Account</t>
  </si>
  <si>
    <t>Medical Cannabis Health Operation and Oversight Account</t>
  </si>
  <si>
    <t xml:space="preserve">Fund and Department of Health Income Fund ($2,442.5m) representing the federal share of Medicaid </t>
  </si>
  <si>
    <t>Projects Fund ($25.9m) and All Other Capital Projects ($141.8m)</t>
  </si>
  <si>
    <t>($1,443.5m) as of February 28, 2025.</t>
  </si>
  <si>
    <r>
      <t>Capital Projects Funds</t>
    </r>
    <r>
      <rPr>
        <b/>
        <sz val="9"/>
        <rFont val="Arial"/>
        <family val="2"/>
      </rPr>
      <t xml:space="preserve"> </t>
    </r>
    <r>
      <rPr>
        <sz val="9"/>
        <rFont val="Arial"/>
        <family val="2"/>
      </rPr>
      <t xml:space="preserve">“Transfers To Other Funds” includes transfers to the General Fund ($89.3m)  </t>
    </r>
  </si>
  <si>
    <t xml:space="preserve">expenses for the Department of Health ($139.5m). </t>
  </si>
  <si>
    <t xml:space="preserve">NYC Personal Care Workforce Recruitment and Retention Rates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</si>
</sst>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0">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60">
    <xf numFmtId="164" fontId="0" fillId="0" borderId="0"/>
    <xf numFmtId="43" fontId="44" fillId="0" borderId="0" applyFont="0" applyFill="0" applyBorder="0" applyAlignment="0" applyProtection="0"/>
    <xf numFmtId="0" fontId="42" fillId="0" borderId="0"/>
    <xf numFmtId="0" fontId="42" fillId="0" borderId="0"/>
    <xf numFmtId="0" fontId="86" fillId="0" borderId="0"/>
    <xf numFmtId="43" fontId="86"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97" fillId="0" borderId="0"/>
    <xf numFmtId="43" fontId="98" fillId="0" borderId="0" applyFont="0" applyFill="0" applyBorder="0" applyAlignment="0" applyProtection="0"/>
    <xf numFmtId="0" fontId="42" fillId="0" borderId="0"/>
    <xf numFmtId="43" fontId="47" fillId="0" borderId="0" applyFont="0" applyFill="0" applyBorder="0" applyAlignment="0" applyProtection="0"/>
    <xf numFmtId="40" fontId="103" fillId="33" borderId="0">
      <alignment horizontal="right"/>
    </xf>
    <xf numFmtId="0" fontId="104" fillId="33" borderId="0">
      <alignment horizontal="right"/>
    </xf>
    <xf numFmtId="0" fontId="105" fillId="33" borderId="12"/>
    <xf numFmtId="0" fontId="105" fillId="0" borderId="0" applyBorder="0">
      <alignment horizontal="centerContinuous"/>
    </xf>
    <xf numFmtId="0" fontId="106"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1" fillId="0" borderId="0"/>
    <xf numFmtId="43" fontId="112"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8" fillId="0" borderId="0"/>
    <xf numFmtId="43" fontId="98" fillId="0" borderId="0" applyFont="0" applyFill="0" applyBorder="0" applyAlignment="0" applyProtection="0"/>
    <xf numFmtId="0" fontId="41"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41"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41"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41"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41"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41"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41"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41"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41"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41"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1"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5" fillId="6" borderId="4" applyNumberFormat="0" applyAlignment="0" applyProtection="0"/>
    <xf numFmtId="0" fontId="117" fillId="47" borderId="37" applyNumberFormat="0" applyAlignment="0" applyProtection="0"/>
    <xf numFmtId="0" fontId="117" fillId="47" borderId="37" applyNumberFormat="0" applyAlignment="0" applyProtection="0"/>
    <xf numFmtId="0" fontId="37" fillId="7" borderId="7" applyNumberFormat="0" applyAlignment="0" applyProtection="0"/>
    <xf numFmtId="0" fontId="114" fillId="48" borderId="38" applyNumberFormat="0" applyAlignment="0" applyProtection="0"/>
    <xf numFmtId="0" fontId="114" fillId="48" borderId="38" applyNumberFormat="0" applyAlignment="0" applyProtection="0"/>
    <xf numFmtId="0" fontId="3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0"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7" fillId="0" borderId="1" applyNumberFormat="0" applyFill="0" applyAlignment="0" applyProtection="0"/>
    <xf numFmtId="0" fontId="120" fillId="0" borderId="39" applyNumberFormat="0" applyFill="0" applyAlignment="0" applyProtection="0"/>
    <xf numFmtId="0" fontId="120" fillId="0" borderId="39" applyNumberFormat="0" applyFill="0" applyAlignment="0" applyProtection="0"/>
    <xf numFmtId="0" fontId="28" fillId="0" borderId="2"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29" fillId="0" borderId="3" applyNumberFormat="0" applyFill="0" applyAlignment="0" applyProtection="0"/>
    <xf numFmtId="0" fontId="122" fillId="0" borderId="41" applyNumberFormat="0" applyFill="0" applyAlignment="0" applyProtection="0"/>
    <xf numFmtId="0" fontId="122" fillId="0" borderId="41" applyNumberFormat="0" applyFill="0" applyAlignment="0" applyProtection="0"/>
    <xf numFmtId="0" fontId="2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33" fillId="5" borderId="4" applyNumberFormat="0" applyAlignment="0" applyProtection="0"/>
    <xf numFmtId="0" fontId="123" fillId="50" borderId="37" applyNumberFormat="0" applyAlignment="0" applyProtection="0"/>
    <xf numFmtId="0" fontId="123" fillId="50" borderId="37" applyNumberFormat="0" applyAlignment="0" applyProtection="0"/>
    <xf numFmtId="0" fontId="36" fillId="0" borderId="6"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32"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5" fillId="0" borderId="0"/>
    <xf numFmtId="0" fontId="34" fillId="6" borderId="5" applyNumberFormat="0" applyAlignment="0" applyProtection="0"/>
    <xf numFmtId="0" fontId="126" fillId="47" borderId="43" applyNumberFormat="0" applyAlignment="0" applyProtection="0"/>
    <xf numFmtId="0" fontId="126" fillId="47" borderId="43" applyNumberFormat="0" applyAlignment="0" applyProtection="0"/>
    <xf numFmtId="0" fontId="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8" fillId="0" borderId="0"/>
    <xf numFmtId="0" fontId="42"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8"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2"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22" fillId="0" borderId="0"/>
    <xf numFmtId="0" fontId="22" fillId="0" borderId="0"/>
    <xf numFmtId="0" fontId="22" fillId="0" borderId="0"/>
    <xf numFmtId="0" fontId="97"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7" fillId="0" borderId="0"/>
    <xf numFmtId="0" fontId="149" fillId="0" borderId="0"/>
    <xf numFmtId="0" fontId="149" fillId="0" borderId="0"/>
    <xf numFmtId="0" fontId="22" fillId="0" borderId="0"/>
    <xf numFmtId="0" fontId="42" fillId="0" borderId="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8"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1"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175" fontId="42" fillId="0" borderId="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97" fillId="0" borderId="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7"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8"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42" fillId="0" borderId="0"/>
    <xf numFmtId="0" fontId="112" fillId="0" borderId="0"/>
    <xf numFmtId="0" fontId="112" fillId="0" borderId="0"/>
    <xf numFmtId="0" fontId="112" fillId="0" borderId="0"/>
    <xf numFmtId="0" fontId="42" fillId="0" borderId="0"/>
    <xf numFmtId="0" fontId="112" fillId="0" borderId="0"/>
    <xf numFmtId="0" fontId="42" fillId="0" borderId="0"/>
    <xf numFmtId="0" fontId="42" fillId="0" borderId="0"/>
    <xf numFmtId="0" fontId="42" fillId="0" borderId="0"/>
    <xf numFmtId="0" fontId="42" fillId="0" borderId="0"/>
    <xf numFmtId="0" fontId="42" fillId="0" borderId="0"/>
    <xf numFmtId="0" fontId="97"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12" fillId="57" borderId="48" applyNumberFormat="0" applyFont="0" applyAlignment="0" applyProtection="0"/>
    <xf numFmtId="0" fontId="105" fillId="33" borderId="50"/>
    <xf numFmtId="0" fontId="47" fillId="0" borderId="0"/>
    <xf numFmtId="0" fontId="105"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4" fillId="0" borderId="0"/>
    <xf numFmtId="0" fontId="105" fillId="33" borderId="52"/>
    <xf numFmtId="0" fontId="164" fillId="0" borderId="0"/>
    <xf numFmtId="0" fontId="18" fillId="0" borderId="0"/>
    <xf numFmtId="0" fontId="164" fillId="0" borderId="0"/>
    <xf numFmtId="0" fontId="164" fillId="0" borderId="0"/>
    <xf numFmtId="0" fontId="17" fillId="0" borderId="0"/>
    <xf numFmtId="0" fontId="165"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0" fontId="17" fillId="0" borderId="0"/>
    <xf numFmtId="0" fontId="165" fillId="0" borderId="0"/>
    <xf numFmtId="43" fontId="165" fillId="0" borderId="0" applyFont="0" applyFill="0" applyBorder="0" applyAlignment="0" applyProtection="0"/>
    <xf numFmtId="0" fontId="167" fillId="0" borderId="0"/>
    <xf numFmtId="0" fontId="165" fillId="0" borderId="0"/>
    <xf numFmtId="0" fontId="165" fillId="0" borderId="0"/>
    <xf numFmtId="0" fontId="165" fillId="0" borderId="0"/>
    <xf numFmtId="0" fontId="17" fillId="0" borderId="0"/>
    <xf numFmtId="0" fontId="165" fillId="0" borderId="0"/>
    <xf numFmtId="0" fontId="167" fillId="0" borderId="0"/>
    <xf numFmtId="0" fontId="164" fillId="0" borderId="0"/>
    <xf numFmtId="0" fontId="164" fillId="0" borderId="0"/>
    <xf numFmtId="0" fontId="16" fillId="0" borderId="0"/>
    <xf numFmtId="0" fontId="164" fillId="0" borderId="0"/>
    <xf numFmtId="0" fontId="164" fillId="0" borderId="0"/>
    <xf numFmtId="0" fontId="16" fillId="0" borderId="0"/>
    <xf numFmtId="0" fontId="16" fillId="0" borderId="0"/>
    <xf numFmtId="0" fontId="47" fillId="0" borderId="0"/>
    <xf numFmtId="0" fontId="15" fillId="0" borderId="0"/>
    <xf numFmtId="0" fontId="165" fillId="0" borderId="0"/>
    <xf numFmtId="0" fontId="165" fillId="0" borderId="0"/>
    <xf numFmtId="0" fontId="165" fillId="0" borderId="0"/>
    <xf numFmtId="0" fontId="168" fillId="0" borderId="0"/>
    <xf numFmtId="0" fontId="168" fillId="0" borderId="0"/>
    <xf numFmtId="0" fontId="14" fillId="0" borderId="0"/>
    <xf numFmtId="0" fontId="14" fillId="0" borderId="0"/>
    <xf numFmtId="43" fontId="47" fillId="0" borderId="0" applyFont="0" applyFill="0" applyBorder="0" applyAlignment="0" applyProtection="0"/>
    <xf numFmtId="0" fontId="14" fillId="0" borderId="0"/>
    <xf numFmtId="0" fontId="168" fillId="0" borderId="0"/>
    <xf numFmtId="0" fontId="168" fillId="0" borderId="0"/>
    <xf numFmtId="0" fontId="13" fillId="0" borderId="0"/>
    <xf numFmtId="0" fontId="13" fillId="0" borderId="0"/>
    <xf numFmtId="0" fontId="13" fillId="0" borderId="0"/>
    <xf numFmtId="0" fontId="168" fillId="0" borderId="0"/>
    <xf numFmtId="0" fontId="165" fillId="0" borderId="0"/>
    <xf numFmtId="0" fontId="12" fillId="0" borderId="0"/>
    <xf numFmtId="0" fontId="165" fillId="0" borderId="0"/>
    <xf numFmtId="0" fontId="165" fillId="0" borderId="0"/>
    <xf numFmtId="0" fontId="165" fillId="0" borderId="0"/>
    <xf numFmtId="0" fontId="12" fillId="0" borderId="0"/>
    <xf numFmtId="0" fontId="165" fillId="0" borderId="0"/>
    <xf numFmtId="0" fontId="165" fillId="0" borderId="0"/>
    <xf numFmtId="164" fontId="169"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7"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7" fillId="47" borderId="55" applyNumberFormat="0" applyAlignment="0" applyProtection="0"/>
    <xf numFmtId="0" fontId="117" fillId="47" borderId="55" applyNumberFormat="0" applyAlignment="0" applyProtection="0"/>
    <xf numFmtId="0" fontId="123" fillId="50" borderId="55" applyNumberFormat="0" applyAlignment="0" applyProtection="0"/>
    <xf numFmtId="0" fontId="123" fillId="50" borderId="55" applyNumberFormat="0" applyAlignment="0" applyProtection="0"/>
    <xf numFmtId="0" fontId="12" fillId="0" borderId="0"/>
    <xf numFmtId="0" fontId="165" fillId="0" borderId="0"/>
    <xf numFmtId="0" fontId="126" fillId="47" borderId="56" applyNumberFormat="0" applyAlignment="0" applyProtection="0"/>
    <xf numFmtId="0" fontId="126"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8"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8"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5"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5"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3" fontId="42" fillId="0" borderId="0" applyFont="0" applyFill="0" applyBorder="0" applyAlignment="0" applyProtection="0"/>
    <xf numFmtId="0" fontId="47" fillId="0" borderId="0"/>
    <xf numFmtId="0" fontId="165"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5" fillId="0" borderId="0"/>
    <xf numFmtId="0" fontId="12" fillId="0" borderId="0"/>
    <xf numFmtId="0" fontId="165"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70" fillId="0" borderId="0"/>
    <xf numFmtId="0" fontId="170"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1" fillId="0" borderId="0"/>
    <xf numFmtId="0" fontId="171" fillId="0" borderId="0"/>
    <xf numFmtId="0" fontId="10" fillId="0" borderId="0"/>
    <xf numFmtId="0" fontId="10" fillId="0" borderId="0"/>
    <xf numFmtId="0" fontId="171" fillId="0" borderId="0"/>
    <xf numFmtId="0" fontId="171" fillId="0" borderId="0"/>
    <xf numFmtId="0" fontId="171" fillId="0" borderId="0"/>
    <xf numFmtId="0" fontId="171" fillId="0" borderId="0"/>
    <xf numFmtId="0" fontId="171" fillId="0" borderId="0"/>
    <xf numFmtId="0" fontId="10" fillId="0" borderId="0"/>
    <xf numFmtId="0" fontId="173"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5"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5"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5"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6" fillId="0" borderId="0"/>
    <xf numFmtId="0" fontId="48" fillId="0" borderId="62" applyNumberFormat="0" applyFont="0" applyBorder="0">
      <alignment horizontal="right"/>
    </xf>
    <xf numFmtId="0" fontId="180" fillId="0" borderId="0" applyFill="0"/>
    <xf numFmtId="0" fontId="47" fillId="0" borderId="0" applyNumberFormat="0" applyFont="0" applyBorder="0" applyAlignment="0"/>
    <xf numFmtId="0" fontId="181" fillId="0" borderId="0" applyFill="0">
      <alignment horizontal="left" indent="1"/>
    </xf>
    <xf numFmtId="44" fontId="176" fillId="0" borderId="0" applyFont="0" applyFill="0" applyBorder="0" applyAlignment="0" applyProtection="0"/>
    <xf numFmtId="43" fontId="176" fillId="0" borderId="0" applyFont="0" applyFill="0" applyBorder="0" applyAlignment="0" applyProtection="0"/>
    <xf numFmtId="4" fontId="113"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7" fillId="0" borderId="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5"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5"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44" fontId="47" fillId="0" borderId="0" applyFont="0" applyFill="0" applyBorder="0" applyAlignment="0" applyProtection="0"/>
    <xf numFmtId="43" fontId="47"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9"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90"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90" fillId="0" borderId="0" applyFill="0">
      <alignment wrapText="1"/>
    </xf>
    <xf numFmtId="0" fontId="70" fillId="0" borderId="0" applyFill="0">
      <alignment horizontal="left" vertical="top" wrapText="1"/>
    </xf>
    <xf numFmtId="186" fontId="85" fillId="0" borderId="0" applyFill="0"/>
    <xf numFmtId="0" fontId="191" fillId="0" borderId="0" applyNumberFormat="0" applyFont="0" applyAlignment="0">
      <alignment horizontal="center"/>
    </xf>
    <xf numFmtId="0" fontId="155" fillId="0" borderId="0" applyFill="0">
      <alignment vertical="top" wrapText="1"/>
    </xf>
    <xf numFmtId="0" fontId="49" fillId="0" borderId="0" applyFill="0">
      <alignment horizontal="left" vertical="top" wrapText="1"/>
    </xf>
    <xf numFmtId="186" fontId="47" fillId="0" borderId="0" applyFill="0"/>
    <xf numFmtId="0" fontId="191" fillId="0" borderId="0" applyNumberFormat="0" applyFont="0" applyAlignment="0">
      <alignment horizontal="center"/>
    </xf>
    <xf numFmtId="0" fontId="93" fillId="0" borderId="0" applyFill="0">
      <alignment vertical="center" wrapText="1"/>
    </xf>
    <xf numFmtId="0" fontId="42" fillId="0" borderId="0">
      <alignment horizontal="left" vertical="center" wrapText="1"/>
    </xf>
    <xf numFmtId="186" fontId="54" fillId="0" borderId="0" applyFill="0"/>
    <xf numFmtId="0" fontId="191" fillId="0" borderId="0" applyNumberFormat="0" applyFont="0" applyAlignment="0">
      <alignment horizontal="center"/>
    </xf>
    <xf numFmtId="0" fontId="192" fillId="0" borderId="0" applyFill="0">
      <alignment horizontal="center" vertical="center" wrapText="1"/>
    </xf>
    <xf numFmtId="0" fontId="47" fillId="0" borderId="0" applyFill="0">
      <alignment horizontal="center" vertical="center" wrapText="1"/>
    </xf>
    <xf numFmtId="186" fontId="193" fillId="0" borderId="0" applyFill="0"/>
    <xf numFmtId="0" fontId="191" fillId="0" borderId="0" applyNumberFormat="0" applyFont="0" applyAlignment="0">
      <alignment horizontal="center"/>
    </xf>
    <xf numFmtId="0" fontId="194" fillId="0" borderId="0" applyFill="0">
      <alignment horizontal="center" vertical="center" wrapText="1"/>
    </xf>
    <xf numFmtId="0" fontId="195" fillId="0" borderId="0" applyFill="0">
      <alignment horizontal="center" vertical="center" wrapText="1"/>
    </xf>
    <xf numFmtId="186" fontId="196" fillId="0" borderId="0" applyFill="0"/>
    <xf numFmtId="0" fontId="191" fillId="0" borderId="0" applyNumberFormat="0" applyFont="0" applyAlignment="0">
      <alignment horizontal="center"/>
    </xf>
    <xf numFmtId="0" fontId="197" fillId="0" borderId="0">
      <alignment horizontal="center" wrapText="1"/>
    </xf>
    <xf numFmtId="0" fontId="193" fillId="0" borderId="0" applyFill="0">
      <alignment horizontal="center" wrapText="1"/>
    </xf>
    <xf numFmtId="4" fontId="45" fillId="35" borderId="0" applyFill="0"/>
    <xf numFmtId="0" fontId="198" fillId="0" borderId="0">
      <alignment horizontal="left" indent="7"/>
    </xf>
    <xf numFmtId="0" fontId="45" fillId="0" borderId="0" applyFill="0">
      <alignment horizontal="left" indent="7"/>
    </xf>
    <xf numFmtId="186" fontId="113" fillId="0" borderId="10" applyFill="0">
      <alignment horizontal="right"/>
    </xf>
    <xf numFmtId="0" fontId="155" fillId="0" borderId="0" applyFill="0">
      <alignment horizontal="left" indent="1"/>
    </xf>
    <xf numFmtId="4" fontId="54" fillId="0" borderId="0" applyFill="0"/>
    <xf numFmtId="0" fontId="47" fillId="0" borderId="0" applyNumberFormat="0" applyFont="0" applyFill="0" applyBorder="0" applyAlignment="0"/>
    <xf numFmtId="0" fontId="155"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9" fillId="0" borderId="0">
      <alignment horizontal="left" indent="3"/>
    </xf>
    <xf numFmtId="0" fontId="83" fillId="0" borderId="0" applyFill="0">
      <alignment horizontal="left" indent="3"/>
    </xf>
    <xf numFmtId="4" fontId="54" fillId="0" borderId="0" applyFill="0"/>
    <xf numFmtId="0" fontId="47" fillId="0" borderId="0" applyNumberFormat="0" applyFont="0" applyBorder="0" applyAlignment="0"/>
    <xf numFmtId="0" fontId="192" fillId="0" borderId="0">
      <alignment horizontal="left" indent="4"/>
    </xf>
    <xf numFmtId="0" fontId="47" fillId="0" borderId="0" applyFill="0">
      <alignment horizontal="left" indent="4"/>
    </xf>
    <xf numFmtId="4" fontId="193" fillId="0" borderId="0" applyFill="0"/>
    <xf numFmtId="0" fontId="47" fillId="0" borderId="0" applyNumberFormat="0" applyFont="0" applyBorder="0" applyAlignment="0"/>
    <xf numFmtId="0" fontId="194" fillId="0" borderId="0">
      <alignment horizontal="left" indent="5"/>
    </xf>
    <xf numFmtId="0" fontId="195" fillId="0" borderId="0" applyFill="0">
      <alignment horizontal="left" indent="5"/>
    </xf>
    <xf numFmtId="4" fontId="196" fillId="0" borderId="0" applyFill="0"/>
    <xf numFmtId="0" fontId="47" fillId="0" borderId="0" applyNumberFormat="0" applyFont="0" applyFill="0" applyBorder="0" applyAlignment="0"/>
    <xf numFmtId="0" fontId="197" fillId="0" borderId="0" applyFill="0">
      <alignment horizontal="left" indent="6"/>
    </xf>
    <xf numFmtId="0" fontId="193"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2"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2"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3" fillId="0" borderId="0"/>
    <xf numFmtId="0" fontId="105"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3" fillId="0" borderId="45" applyFill="0">
      <alignment horizontal="right"/>
    </xf>
    <xf numFmtId="4" fontId="113"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148">
    <xf numFmtId="164" fontId="0" fillId="0" borderId="0" xfId="0"/>
    <xf numFmtId="170" fontId="49" fillId="0" borderId="0" xfId="0" applyNumberFormat="1" applyFont="1"/>
    <xf numFmtId="164" fontId="49" fillId="0" borderId="0" xfId="0" applyFont="1" applyProtection="1">
      <protection locked="0"/>
    </xf>
    <xf numFmtId="0" fontId="49" fillId="0" borderId="0" xfId="2" applyFont="1"/>
    <xf numFmtId="165" fontId="44" fillId="0" borderId="0" xfId="2" applyNumberFormat="1" applyFont="1"/>
    <xf numFmtId="0" fontId="44" fillId="0" borderId="0" xfId="2" applyFont="1"/>
    <xf numFmtId="0" fontId="49" fillId="0" borderId="0" xfId="2" quotePrefix="1" applyFont="1" applyAlignment="1">
      <alignment horizontal="left"/>
    </xf>
    <xf numFmtId="0" fontId="67" fillId="0" borderId="0" xfId="2" applyFont="1"/>
    <xf numFmtId="165" fontId="67" fillId="0" borderId="0" xfId="2" applyNumberFormat="1" applyFont="1" applyAlignment="1" applyProtection="1">
      <alignment horizontal="center"/>
      <protection locked="0"/>
    </xf>
    <xf numFmtId="165" fontId="67" fillId="0" borderId="0" xfId="2" applyNumberFormat="1" applyFont="1" applyProtection="1">
      <protection locked="0"/>
    </xf>
    <xf numFmtId="165" fontId="67" fillId="0" borderId="0" xfId="2" applyNumberFormat="1" applyFont="1"/>
    <xf numFmtId="170" fontId="67" fillId="0" borderId="0" xfId="2" applyNumberFormat="1" applyFont="1"/>
    <xf numFmtId="170" fontId="0" fillId="0" borderId="0" xfId="2" applyNumberFormat="1" applyFont="1"/>
    <xf numFmtId="170" fontId="49" fillId="0" borderId="0" xfId="2" applyNumberFormat="1" applyFont="1"/>
    <xf numFmtId="170" fontId="49" fillId="0" borderId="17" xfId="2" applyNumberFormat="1" applyFont="1" applyBorder="1"/>
    <xf numFmtId="165" fontId="68" fillId="0" borderId="0" xfId="2" applyNumberFormat="1" applyFont="1"/>
    <xf numFmtId="170" fontId="49" fillId="0" borderId="0" xfId="2" quotePrefix="1" applyNumberFormat="1" applyFont="1" applyAlignment="1">
      <alignment horizontal="center"/>
    </xf>
    <xf numFmtId="170" fontId="49" fillId="0" borderId="0" xfId="2" applyNumberFormat="1" applyFont="1" applyAlignment="1">
      <alignment horizontal="center"/>
    </xf>
    <xf numFmtId="170" fontId="49" fillId="0" borderId="0" xfId="2" applyNumberFormat="1" applyFont="1" applyAlignment="1">
      <alignment horizontal="right"/>
    </xf>
    <xf numFmtId="170" fontId="49" fillId="0" borderId="0" xfId="2" applyNumberFormat="1" applyFont="1" applyAlignment="1">
      <alignment vertical="center"/>
    </xf>
    <xf numFmtId="174" fontId="49" fillId="0" borderId="0" xfId="2" applyNumberFormat="1" applyFont="1"/>
    <xf numFmtId="174" fontId="49" fillId="0" borderId="17" xfId="2" applyNumberFormat="1" applyFont="1" applyBorder="1"/>
    <xf numFmtId="168" fontId="67" fillId="0" borderId="0" xfId="2" applyNumberFormat="1" applyFont="1" applyProtection="1">
      <protection locked="0"/>
    </xf>
    <xf numFmtId="0" fontId="0" fillId="0" borderId="0" xfId="2" applyFont="1"/>
    <xf numFmtId="166" fontId="69" fillId="0" borderId="0" xfId="2" applyNumberFormat="1" applyFont="1"/>
    <xf numFmtId="0" fontId="49" fillId="0" borderId="0" xfId="2" applyFont="1" applyAlignment="1">
      <alignment horizontal="centerContinuous"/>
    </xf>
    <xf numFmtId="170" fontId="49" fillId="0" borderId="0" xfId="2" quotePrefix="1" applyNumberFormat="1" applyFont="1" applyAlignment="1">
      <alignment horizontal="right"/>
    </xf>
    <xf numFmtId="174" fontId="49" fillId="0" borderId="0" xfId="2" applyNumberFormat="1" applyFont="1" applyAlignment="1">
      <alignment horizontal="center"/>
    </xf>
    <xf numFmtId="0" fontId="70" fillId="33" borderId="0" xfId="2" applyFont="1" applyFill="1" applyAlignment="1">
      <alignment horizontal="left"/>
    </xf>
    <xf numFmtId="37" fontId="47" fillId="33" borderId="0" xfId="2" applyNumberFormat="1" applyFont="1" applyFill="1"/>
    <xf numFmtId="37" fontId="47" fillId="0" borderId="0" xfId="2" applyNumberFormat="1" applyFont="1"/>
    <xf numFmtId="37" fontId="71" fillId="0" borderId="0" xfId="2" applyNumberFormat="1" applyFont="1" applyAlignment="1">
      <alignment horizontal="center"/>
    </xf>
    <xf numFmtId="37" fontId="72" fillId="0" borderId="0" xfId="2" applyNumberFormat="1" applyFont="1"/>
    <xf numFmtId="0" fontId="70" fillId="0" borderId="0" xfId="2" quotePrefix="1" applyFont="1" applyAlignment="1" applyProtection="1">
      <alignment horizontal="left"/>
      <protection locked="0"/>
    </xf>
    <xf numFmtId="0" fontId="65" fillId="0" borderId="0" xfId="2" applyFont="1"/>
    <xf numFmtId="0" fontId="45" fillId="0" borderId="0" xfId="2" applyFont="1"/>
    <xf numFmtId="37" fontId="49" fillId="0" borderId="0" xfId="2" applyNumberFormat="1" applyFont="1"/>
    <xf numFmtId="37" fontId="49" fillId="0" borderId="0" xfId="2" applyNumberFormat="1" applyFont="1" applyAlignment="1">
      <alignment horizontal="center"/>
    </xf>
    <xf numFmtId="37" fontId="49" fillId="0" borderId="0" xfId="2" quotePrefix="1" applyNumberFormat="1" applyFont="1" applyAlignment="1">
      <alignment horizontal="center"/>
    </xf>
    <xf numFmtId="3" fontId="47" fillId="0" borderId="0" xfId="2" applyNumberFormat="1" applyFont="1"/>
    <xf numFmtId="166" fontId="49" fillId="0" borderId="0" xfId="2" applyNumberFormat="1" applyFont="1"/>
    <xf numFmtId="166" fontId="0" fillId="0" borderId="0" xfId="2" applyNumberFormat="1" applyFont="1"/>
    <xf numFmtId="37" fontId="49" fillId="0" borderId="0" xfId="2" applyNumberFormat="1" applyFont="1" applyAlignment="1">
      <alignment horizontal="right"/>
    </xf>
    <xf numFmtId="3" fontId="49" fillId="0" borderId="0" xfId="2" applyNumberFormat="1" applyFont="1" applyAlignment="1">
      <alignment horizontal="right"/>
    </xf>
    <xf numFmtId="174" fontId="49" fillId="0" borderId="0" xfId="2" applyNumberFormat="1" applyFont="1" applyAlignment="1">
      <alignment horizontal="right"/>
    </xf>
    <xf numFmtId="169" fontId="49" fillId="0" borderId="0" xfId="2" applyNumberFormat="1" applyFont="1"/>
    <xf numFmtId="166" fontId="67"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9" fillId="0" borderId="0" xfId="2" applyNumberFormat="1" applyFont="1"/>
    <xf numFmtId="0" fontId="76" fillId="0" borderId="0" xfId="2" applyFont="1"/>
    <xf numFmtId="0" fontId="70" fillId="0" borderId="0" xfId="2" applyFont="1" applyAlignment="1">
      <alignment horizontal="left"/>
    </xf>
    <xf numFmtId="37" fontId="70" fillId="0" borderId="0" xfId="2" applyNumberFormat="1" applyFont="1" applyAlignment="1">
      <alignment horizontal="right"/>
    </xf>
    <xf numFmtId="37" fontId="49" fillId="0" borderId="0" xfId="2" applyNumberFormat="1" applyFont="1" applyAlignment="1">
      <alignment horizontal="centerContinuous"/>
    </xf>
    <xf numFmtId="37" fontId="49" fillId="0" borderId="0" xfId="2" applyNumberFormat="1" applyFont="1" applyAlignment="1">
      <alignment horizontal="left"/>
    </xf>
    <xf numFmtId="0" fontId="49"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7" fillId="0" borderId="0" xfId="2" applyNumberFormat="1" applyFont="1"/>
    <xf numFmtId="0" fontId="54" fillId="0" borderId="0" xfId="2" applyFont="1"/>
    <xf numFmtId="165" fontId="69" fillId="0" borderId="0" xfId="2" applyNumberFormat="1" applyFont="1"/>
    <xf numFmtId="165" fontId="49" fillId="0" borderId="0" xfId="2" applyNumberFormat="1" applyFont="1"/>
    <xf numFmtId="166" fontId="67" fillId="0" borderId="0" xfId="2" applyNumberFormat="1" applyFont="1"/>
    <xf numFmtId="165" fontId="78" fillId="0" borderId="0" xfId="2" applyNumberFormat="1" applyFont="1"/>
    <xf numFmtId="166" fontId="79" fillId="0" borderId="0" xfId="2" applyNumberFormat="1" applyFont="1"/>
    <xf numFmtId="166" fontId="79" fillId="0" borderId="0" xfId="2" quotePrefix="1" applyNumberFormat="1" applyFont="1" applyAlignment="1">
      <alignment horizontal="left"/>
    </xf>
    <xf numFmtId="166" fontId="63" fillId="0" borderId="0" xfId="2" applyNumberFormat="1" applyFont="1"/>
    <xf numFmtId="165" fontId="47" fillId="0" borderId="0" xfId="2" applyNumberFormat="1" applyFont="1"/>
    <xf numFmtId="165" fontId="70" fillId="0" borderId="0" xfId="2" applyNumberFormat="1" applyFont="1"/>
    <xf numFmtId="0" fontId="70" fillId="0" borderId="0" xfId="2" applyFont="1"/>
    <xf numFmtId="164" fontId="70" fillId="0" borderId="0" xfId="2" applyNumberFormat="1" applyFont="1" applyAlignment="1">
      <alignment horizontal="right"/>
    </xf>
    <xf numFmtId="174" fontId="68" fillId="0" borderId="0" xfId="2" applyNumberFormat="1" applyFont="1"/>
    <xf numFmtId="170" fontId="49" fillId="0" borderId="25" xfId="2" applyNumberFormat="1" applyFont="1" applyBorder="1"/>
    <xf numFmtId="0" fontId="49" fillId="0" borderId="17" xfId="2" applyFont="1" applyBorder="1"/>
    <xf numFmtId="174" fontId="49" fillId="0" borderId="15" xfId="2" applyNumberFormat="1" applyFont="1" applyBorder="1"/>
    <xf numFmtId="0" fontId="47" fillId="0" borderId="0" xfId="2" applyFont="1"/>
    <xf numFmtId="0" fontId="43" fillId="0" borderId="0" xfId="2" applyFont="1" applyAlignment="1">
      <alignment horizontal="right"/>
    </xf>
    <xf numFmtId="174" fontId="49" fillId="0" borderId="27" xfId="2" applyNumberFormat="1" applyFont="1" applyBorder="1"/>
    <xf numFmtId="164" fontId="49" fillId="0" borderId="0" xfId="2" applyNumberFormat="1" applyFont="1"/>
    <xf numFmtId="170" fontId="49" fillId="0" borderId="27" xfId="2" applyNumberFormat="1" applyFont="1" applyBorder="1"/>
    <xf numFmtId="166" fontId="49" fillId="0" borderId="0" xfId="2" applyNumberFormat="1" applyFont="1" applyAlignment="1">
      <alignment horizontal="right"/>
    </xf>
    <xf numFmtId="164" fontId="49" fillId="0" borderId="15" xfId="2" applyNumberFormat="1" applyFont="1" applyBorder="1"/>
    <xf numFmtId="168" fontId="45" fillId="0" borderId="0" xfId="2" applyNumberFormat="1" applyFont="1"/>
    <xf numFmtId="168" fontId="47" fillId="0" borderId="0" xfId="2" applyNumberFormat="1" applyFont="1"/>
    <xf numFmtId="0" fontId="85" fillId="0" borderId="0" xfId="2" applyFont="1"/>
    <xf numFmtId="0" fontId="47" fillId="0" borderId="0" xfId="4" applyFont="1"/>
    <xf numFmtId="0" fontId="70" fillId="0" borderId="0" xfId="4" applyFont="1"/>
    <xf numFmtId="174" fontId="49" fillId="0" borderId="0" xfId="4" applyNumberFormat="1" applyFont="1"/>
    <xf numFmtId="0" fontId="49" fillId="0" borderId="0" xfId="4" applyFont="1"/>
    <xf numFmtId="165" fontId="88" fillId="0" borderId="0" xfId="2" applyNumberFormat="1" applyFont="1" applyAlignment="1">
      <alignment horizontal="left"/>
    </xf>
    <xf numFmtId="165" fontId="89" fillId="0" borderId="0" xfId="2" applyNumberFormat="1" applyFont="1"/>
    <xf numFmtId="165" fontId="90" fillId="0" borderId="0" xfId="2" applyNumberFormat="1" applyFont="1"/>
    <xf numFmtId="165" fontId="91" fillId="0" borderId="0" xfId="2" applyNumberFormat="1" applyFont="1" applyAlignment="1">
      <alignment horizontal="centerContinuous"/>
    </xf>
    <xf numFmtId="0" fontId="81" fillId="0" borderId="0" xfId="2" applyFont="1"/>
    <xf numFmtId="165" fontId="88" fillId="0" borderId="0" xfId="2" applyNumberFormat="1" applyFont="1" applyAlignment="1">
      <alignment horizontal="centerContinuous"/>
    </xf>
    <xf numFmtId="0" fontId="92" fillId="0" borderId="0" xfId="2" applyFont="1" applyAlignment="1">
      <alignment horizontal="left"/>
    </xf>
    <xf numFmtId="165" fontId="93" fillId="0" borderId="0" xfId="2" applyNumberFormat="1" applyFont="1"/>
    <xf numFmtId="166" fontId="49" fillId="0" borderId="14" xfId="2" applyNumberFormat="1" applyFont="1" applyBorder="1"/>
    <xf numFmtId="174" fontId="49" fillId="0" borderId="0" xfId="2" quotePrefix="1" applyNumberFormat="1" applyFont="1"/>
    <xf numFmtId="174" fontId="49" fillId="0" borderId="14" xfId="2" applyNumberFormat="1" applyFont="1" applyBorder="1"/>
    <xf numFmtId="166" fontId="0" fillId="0" borderId="0" xfId="2" applyNumberFormat="1" applyFont="1" applyAlignment="1">
      <alignment horizontal="center"/>
    </xf>
    <xf numFmtId="164" fontId="0" fillId="0" borderId="0" xfId="2" applyNumberFormat="1" applyFont="1"/>
    <xf numFmtId="170" fontId="49" fillId="0" borderId="14" xfId="2" applyNumberFormat="1" applyFont="1" applyBorder="1" applyAlignment="1">
      <alignment horizontal="right"/>
    </xf>
    <xf numFmtId="170" fontId="49" fillId="0" borderId="14" xfId="2" applyNumberFormat="1" applyFont="1" applyBorder="1"/>
    <xf numFmtId="172" fontId="0" fillId="0" borderId="0" xfId="2" applyNumberFormat="1" applyFont="1"/>
    <xf numFmtId="170" fontId="49" fillId="0" borderId="14" xfId="2" applyNumberFormat="1" applyFont="1" applyBorder="1" applyAlignment="1">
      <alignment horizontal="center"/>
    </xf>
    <xf numFmtId="7" fontId="49" fillId="0" borderId="0" xfId="2" applyNumberFormat="1" applyFont="1"/>
    <xf numFmtId="166" fontId="83" fillId="0" borderId="0" xfId="2" applyNumberFormat="1" applyFont="1" applyAlignment="1">
      <alignment horizontal="left"/>
    </xf>
    <xf numFmtId="0" fontId="83" fillId="0" borderId="0" xfId="2" applyFont="1"/>
    <xf numFmtId="166" fontId="83" fillId="0" borderId="0" xfId="2" quotePrefix="1" applyNumberFormat="1" applyFont="1" applyAlignment="1">
      <alignment horizontal="left"/>
    </xf>
    <xf numFmtId="170" fontId="63" fillId="0" borderId="0" xfId="2" applyNumberFormat="1" applyFont="1" applyAlignment="1">
      <alignment horizontal="right"/>
    </xf>
    <xf numFmtId="0" fontId="70" fillId="0" borderId="0" xfId="2" applyFont="1" applyAlignment="1">
      <alignment horizontal="right"/>
    </xf>
    <xf numFmtId="0" fontId="95" fillId="0" borderId="0" xfId="2" applyFont="1"/>
    <xf numFmtId="0" fontId="0" fillId="0" borderId="0" xfId="17" applyNumberFormat="1" applyFont="1"/>
    <xf numFmtId="0" fontId="49" fillId="0" borderId="0" xfId="17" applyNumberFormat="1" applyFont="1" applyAlignment="1" applyProtection="1">
      <alignment horizontal="center"/>
      <protection locked="0"/>
    </xf>
    <xf numFmtId="0" fontId="49" fillId="0" borderId="0" xfId="17" applyNumberFormat="1" applyFont="1" applyAlignment="1">
      <alignment horizontal="center"/>
    </xf>
    <xf numFmtId="0" fontId="73" fillId="0" borderId="0" xfId="17" applyNumberFormat="1" applyFont="1"/>
    <xf numFmtId="174" fontId="49" fillId="0" borderId="0" xfId="17" applyNumberFormat="1" applyFont="1"/>
    <xf numFmtId="189" fontId="108" fillId="0" borderId="0" xfId="11" applyNumberFormat="1" applyFont="1" applyAlignment="1">
      <alignment horizontal="right"/>
    </xf>
    <xf numFmtId="189" fontId="69" fillId="0" borderId="0" xfId="11" applyNumberFormat="1" applyFont="1" applyAlignment="1"/>
    <xf numFmtId="43" fontId="78" fillId="0" borderId="0" xfId="11" applyFont="1" applyAlignment="1"/>
    <xf numFmtId="189" fontId="47" fillId="0" borderId="0" xfId="11" applyNumberFormat="1" applyFont="1" applyAlignment="1"/>
    <xf numFmtId="0" fontId="43" fillId="0" borderId="0" xfId="739" quotePrefix="1" applyFont="1" applyAlignment="1">
      <alignment horizontal="left"/>
    </xf>
    <xf numFmtId="0" fontId="49" fillId="0" borderId="0" xfId="739" applyFont="1"/>
    <xf numFmtId="0" fontId="95" fillId="0" borderId="0" xfId="739" applyFont="1"/>
    <xf numFmtId="0" fontId="94" fillId="0" borderId="0" xfId="739" applyFont="1"/>
    <xf numFmtId="37" fontId="94" fillId="0" borderId="0" xfId="739" applyNumberFormat="1" applyFont="1"/>
    <xf numFmtId="0" fontId="96" fillId="0" borderId="0" xfId="739" applyFont="1"/>
    <xf numFmtId="37" fontId="95" fillId="0" borderId="22" xfId="739" quotePrefix="1" applyNumberFormat="1" applyFont="1" applyBorder="1" applyAlignment="1">
      <alignment horizontal="center"/>
    </xf>
    <xf numFmtId="37" fontId="131" fillId="0" borderId="0" xfId="2" applyNumberFormat="1" applyFont="1"/>
    <xf numFmtId="37" fontId="132" fillId="0" borderId="0" xfId="2" applyNumberFormat="1" applyFont="1"/>
    <xf numFmtId="0" fontId="130" fillId="0" borderId="0" xfId="2" applyFont="1" applyAlignment="1">
      <alignment horizontal="center"/>
    </xf>
    <xf numFmtId="37" fontId="130" fillId="0" borderId="0" xfId="2" applyNumberFormat="1" applyFont="1"/>
    <xf numFmtId="37" fontId="129" fillId="0" borderId="0" xfId="2" applyNumberFormat="1" applyFont="1"/>
    <xf numFmtId="166" fontId="68" fillId="0" borderId="0" xfId="2" applyNumberFormat="1" applyFont="1"/>
    <xf numFmtId="177" fontId="49" fillId="0" borderId="0" xfId="740" quotePrefix="1" applyNumberFormat="1" applyFont="1" applyAlignment="1">
      <alignment horizontal="left"/>
    </xf>
    <xf numFmtId="177" fontId="49" fillId="0" borderId="0" xfId="740" applyNumberFormat="1" applyFont="1" applyAlignment="1">
      <alignment horizontal="center"/>
    </xf>
    <xf numFmtId="177" fontId="73" fillId="0" borderId="0" xfId="740" applyNumberFormat="1" applyFont="1"/>
    <xf numFmtId="177" fontId="99" fillId="0" borderId="0" xfId="740" applyNumberFormat="1" applyFont="1"/>
    <xf numFmtId="165" fontId="99" fillId="0" borderId="0" xfId="740" applyNumberFormat="1" applyFont="1"/>
    <xf numFmtId="177" fontId="49" fillId="0" borderId="0" xfId="740" applyNumberFormat="1" applyFont="1"/>
    <xf numFmtId="177" fontId="49" fillId="0" borderId="0" xfId="740" applyNumberFormat="1" applyFont="1" applyAlignment="1">
      <alignment horizontal="right"/>
    </xf>
    <xf numFmtId="182" fontId="49" fillId="0" borderId="0" xfId="740" applyNumberFormat="1" applyFont="1"/>
    <xf numFmtId="0" fontId="65" fillId="0" borderId="0" xfId="836" applyFont="1"/>
    <xf numFmtId="0" fontId="65" fillId="0" borderId="0" xfId="836" applyFont="1" applyAlignment="1">
      <alignment horizontal="right"/>
    </xf>
    <xf numFmtId="177" fontId="65" fillId="0" borderId="0" xfId="836" applyNumberFormat="1" applyFont="1"/>
    <xf numFmtId="173" fontId="69" fillId="0" borderId="0" xfId="836" applyNumberFormat="1" applyFont="1"/>
    <xf numFmtId="0" fontId="70" fillId="0" borderId="0" xfId="836" applyFont="1"/>
    <xf numFmtId="0" fontId="49" fillId="0" borderId="0" xfId="836" applyFont="1"/>
    <xf numFmtId="173" fontId="44" fillId="0" borderId="0" xfId="836" applyNumberFormat="1"/>
    <xf numFmtId="0" fontId="70" fillId="0" borderId="0" xfId="836" applyFont="1" applyAlignment="1">
      <alignment horizontal="right"/>
    </xf>
    <xf numFmtId="173" fontId="65" fillId="0" borderId="0" xfId="836" applyNumberFormat="1" applyFont="1"/>
    <xf numFmtId="0" fontId="49" fillId="0" borderId="0" xfId="836" applyFont="1" applyAlignment="1">
      <alignment horizontal="right"/>
    </xf>
    <xf numFmtId="0" fontId="70" fillId="0" borderId="0" xfId="836" quotePrefix="1" applyFont="1" applyAlignment="1">
      <alignment horizontal="left"/>
    </xf>
    <xf numFmtId="0" fontId="102" fillId="0" borderId="0" xfId="836" applyFont="1"/>
    <xf numFmtId="180" fontId="44" fillId="0" borderId="0" xfId="836" applyNumberFormat="1"/>
    <xf numFmtId="180" fontId="49" fillId="0" borderId="0" xfId="836" applyNumberFormat="1" applyFont="1"/>
    <xf numFmtId="173" fontId="49" fillId="0" borderId="0" xfId="836" applyNumberFormat="1" applyFont="1"/>
    <xf numFmtId="173" fontId="70" fillId="0" borderId="0" xfId="836" applyNumberFormat="1" applyFont="1"/>
    <xf numFmtId="180" fontId="44" fillId="0" borderId="0" xfId="836" quotePrefix="1" applyNumberFormat="1" applyAlignment="1">
      <alignment horizontal="left"/>
    </xf>
    <xf numFmtId="173" fontId="70" fillId="0" borderId="0" xfId="836" applyNumberFormat="1" applyFont="1" applyAlignment="1">
      <alignment horizontal="centerContinuous"/>
    </xf>
    <xf numFmtId="173" fontId="70" fillId="0" borderId="0" xfId="836" applyNumberFormat="1" applyFont="1" applyAlignment="1">
      <alignment horizontal="center"/>
    </xf>
    <xf numFmtId="0" fontId="102" fillId="0" borderId="0" xfId="836" applyFont="1" applyAlignment="1">
      <alignment horizontal="center"/>
    </xf>
    <xf numFmtId="0" fontId="70" fillId="0" borderId="0" xfId="836" applyFont="1" applyAlignment="1">
      <alignment horizontal="center"/>
    </xf>
    <xf numFmtId="173" fontId="65" fillId="0" borderId="0" xfId="836" applyNumberFormat="1" applyFont="1" applyAlignment="1">
      <alignment horizontal="right"/>
    </xf>
    <xf numFmtId="176" fontId="65" fillId="0" borderId="0" xfId="836" applyNumberFormat="1" applyFont="1"/>
    <xf numFmtId="173" fontId="65" fillId="0" borderId="0" xfId="836" applyNumberFormat="1" applyFont="1" applyAlignment="1">
      <alignment horizontal="center"/>
    </xf>
    <xf numFmtId="0" fontId="66" fillId="0" borderId="0" xfId="836" applyFont="1"/>
    <xf numFmtId="165" fontId="47" fillId="0" borderId="0" xfId="840" applyNumberFormat="1"/>
    <xf numFmtId="165" fontId="108" fillId="0" borderId="0" xfId="840" applyNumberFormat="1" applyFont="1" applyAlignment="1">
      <alignment horizontal="right"/>
    </xf>
    <xf numFmtId="39" fontId="47" fillId="0" borderId="0" xfId="840" applyNumberFormat="1"/>
    <xf numFmtId="40" fontId="47" fillId="0" borderId="0" xfId="840" applyNumberFormat="1"/>
    <xf numFmtId="165" fontId="69" fillId="0" borderId="0" xfId="840" applyNumberFormat="1" applyFont="1"/>
    <xf numFmtId="5" fontId="49" fillId="0" borderId="0" xfId="840" applyNumberFormat="1" applyFont="1"/>
    <xf numFmtId="40" fontId="49" fillId="0" borderId="0" xfId="840" applyNumberFormat="1" applyFont="1"/>
    <xf numFmtId="165" fontId="78" fillId="0" borderId="0" xfId="840" applyNumberFormat="1" applyFont="1" applyAlignment="1">
      <alignment horizontal="right"/>
    </xf>
    <xf numFmtId="0" fontId="71" fillId="0" borderId="0" xfId="840" quotePrefix="1" applyFont="1" applyAlignment="1">
      <alignment horizontal="left"/>
    </xf>
    <xf numFmtId="0" fontId="70" fillId="0" borderId="0" xfId="840" applyFont="1"/>
    <xf numFmtId="40" fontId="109" fillId="0" borderId="0" xfId="840" applyNumberFormat="1" applyFont="1" applyAlignment="1">
      <alignment horizontal="center"/>
    </xf>
    <xf numFmtId="40" fontId="49" fillId="0" borderId="0" xfId="840" quotePrefix="1" applyNumberFormat="1" applyFont="1" applyAlignment="1">
      <alignment horizontal="left"/>
    </xf>
    <xf numFmtId="40" fontId="49" fillId="0" borderId="0" xfId="840" applyNumberFormat="1" applyFont="1" applyAlignment="1">
      <alignment horizontal="left"/>
    </xf>
    <xf numFmtId="39" fontId="49" fillId="0" borderId="0" xfId="840" quotePrefix="1" applyNumberFormat="1" applyFont="1" applyAlignment="1">
      <alignment horizontal="center"/>
    </xf>
    <xf numFmtId="40" fontId="49" fillId="0" borderId="0" xfId="840" applyNumberFormat="1" applyFont="1" applyAlignment="1">
      <alignment horizontal="center"/>
    </xf>
    <xf numFmtId="39" fontId="49" fillId="0" borderId="0" xfId="840" applyNumberFormat="1" applyFont="1" applyAlignment="1">
      <alignment horizontal="center"/>
    </xf>
    <xf numFmtId="37" fontId="49" fillId="0" borderId="0" xfId="840" applyNumberFormat="1" applyFont="1"/>
    <xf numFmtId="185" fontId="49" fillId="0" borderId="0" xfId="840" quotePrefix="1" applyNumberFormat="1" applyFont="1" applyAlignment="1">
      <alignment horizontal="center"/>
    </xf>
    <xf numFmtId="42" fontId="49" fillId="0" borderId="0" xfId="840" applyNumberFormat="1" applyFont="1"/>
    <xf numFmtId="165" fontId="78" fillId="0" borderId="0" xfId="840" applyNumberFormat="1" applyFont="1"/>
    <xf numFmtId="0" fontId="49" fillId="0" borderId="0" xfId="840" applyFont="1"/>
    <xf numFmtId="41" fontId="49" fillId="0" borderId="0" xfId="840" applyNumberFormat="1" applyFont="1"/>
    <xf numFmtId="0" fontId="49" fillId="0" borderId="0" xfId="840" applyFont="1" applyAlignment="1">
      <alignment horizontal="left"/>
    </xf>
    <xf numFmtId="0" fontId="47" fillId="0" borderId="0" xfId="840" applyAlignment="1">
      <alignment horizontal="left"/>
    </xf>
    <xf numFmtId="166" fontId="62" fillId="0" borderId="0" xfId="2" applyNumberFormat="1" applyFont="1"/>
    <xf numFmtId="166" fontId="62" fillId="0" borderId="0" xfId="2" quotePrefix="1" applyNumberFormat="1" applyFont="1" applyAlignment="1">
      <alignment horizontal="left"/>
    </xf>
    <xf numFmtId="166" fontId="63" fillId="0" borderId="0" xfId="2" applyNumberFormat="1" applyFont="1" applyAlignment="1">
      <alignment horizontal="center"/>
    </xf>
    <xf numFmtId="174" fontId="62" fillId="0" borderId="0" xfId="2" applyNumberFormat="1" applyFont="1"/>
    <xf numFmtId="174" fontId="62" fillId="0" borderId="16" xfId="2" applyNumberFormat="1" applyFont="1" applyBorder="1"/>
    <xf numFmtId="166" fontId="63" fillId="0" borderId="0" xfId="2" applyNumberFormat="1" applyFont="1" applyAlignment="1">
      <alignment horizontal="right"/>
    </xf>
    <xf numFmtId="166" fontId="63" fillId="0" borderId="16" xfId="2" applyNumberFormat="1" applyFont="1" applyBorder="1"/>
    <xf numFmtId="170" fontId="63" fillId="0" borderId="0" xfId="2" applyNumberFormat="1" applyFont="1"/>
    <xf numFmtId="170" fontId="63" fillId="0" borderId="16" xfId="2" applyNumberFormat="1" applyFont="1" applyBorder="1"/>
    <xf numFmtId="170" fontId="63" fillId="0" borderId="45" xfId="2" applyNumberFormat="1" applyFont="1" applyBorder="1"/>
    <xf numFmtId="170" fontId="62" fillId="0" borderId="0" xfId="2" applyNumberFormat="1" applyFont="1"/>
    <xf numFmtId="170" fontId="62" fillId="0" borderId="16" xfId="2" applyNumberFormat="1" applyFont="1" applyBorder="1"/>
    <xf numFmtId="166" fontId="63" fillId="0" borderId="0" xfId="2" quotePrefix="1" applyNumberFormat="1" applyFont="1" applyAlignment="1">
      <alignment horizontal="left"/>
    </xf>
    <xf numFmtId="170" fontId="136" fillId="0" borderId="0" xfId="2" applyNumberFormat="1" applyFont="1"/>
    <xf numFmtId="170" fontId="67" fillId="0" borderId="16" xfId="2" applyNumberFormat="1" applyFont="1" applyBorder="1"/>
    <xf numFmtId="170" fontId="68" fillId="0" borderId="0" xfId="2" applyNumberFormat="1" applyFont="1"/>
    <xf numFmtId="170" fontId="68" fillId="0" borderId="16" xfId="2" applyNumberFormat="1" applyFont="1" applyBorder="1"/>
    <xf numFmtId="170" fontId="62" fillId="0" borderId="0" xfId="2" applyNumberFormat="1" applyFont="1" applyAlignment="1">
      <alignment horizontal="right"/>
    </xf>
    <xf numFmtId="166" fontId="67" fillId="0" borderId="16" xfId="2" applyNumberFormat="1" applyFont="1" applyBorder="1"/>
    <xf numFmtId="166" fontId="49" fillId="0" borderId="0" xfId="2" applyNumberFormat="1" applyFont="1" applyAlignment="1">
      <alignment horizontal="left"/>
    </xf>
    <xf numFmtId="174" fontId="62" fillId="0" borderId="15" xfId="2" applyNumberFormat="1" applyFont="1" applyBorder="1"/>
    <xf numFmtId="174" fontId="68" fillId="0" borderId="0" xfId="2" applyNumberFormat="1" applyFont="1" applyAlignment="1">
      <alignment horizontal="right"/>
    </xf>
    <xf numFmtId="174" fontId="68" fillId="0" borderId="16" xfId="2" applyNumberFormat="1" applyFont="1" applyBorder="1"/>
    <xf numFmtId="166" fontId="51" fillId="0" borderId="0" xfId="2" applyNumberFormat="1" applyFont="1"/>
    <xf numFmtId="43" fontId="47" fillId="0" borderId="0" xfId="5" applyFont="1" applyFill="1" applyBorder="1" applyAlignment="1">
      <alignment horizontal="right"/>
    </xf>
    <xf numFmtId="0" fontId="82" fillId="0" borderId="0" xfId="8" applyFont="1"/>
    <xf numFmtId="0" fontId="137" fillId="0" borderId="0" xfId="8" applyFont="1"/>
    <xf numFmtId="0" fontId="113" fillId="0" borderId="0" xfId="8" applyFont="1"/>
    <xf numFmtId="0" fontId="54" fillId="0" borderId="0" xfId="8" applyFont="1"/>
    <xf numFmtId="0" fontId="54" fillId="0" borderId="0" xfId="8" applyFont="1" applyAlignment="1">
      <alignment horizontal="left"/>
    </xf>
    <xf numFmtId="0" fontId="54" fillId="0" borderId="0" xfId="8" applyFont="1" applyAlignment="1">
      <alignment horizontal="right" indent="15"/>
    </xf>
    <xf numFmtId="0" fontId="113" fillId="0" borderId="0" xfId="8" applyFont="1" applyAlignment="1">
      <alignment horizontal="right"/>
    </xf>
    <xf numFmtId="0" fontId="47" fillId="0" borderId="0" xfId="8" applyFont="1" applyAlignment="1">
      <alignment horizontal="center"/>
    </xf>
    <xf numFmtId="0" fontId="54" fillId="0" borderId="0" xfId="8" applyFont="1" applyAlignment="1">
      <alignment horizontal="center"/>
    </xf>
    <xf numFmtId="0" fontId="54" fillId="0" borderId="0" xfId="8" applyFont="1" applyAlignment="1">
      <alignment horizontal="right"/>
    </xf>
    <xf numFmtId="0" fontId="113" fillId="0" borderId="0" xfId="8" quotePrefix="1" applyFont="1" applyAlignment="1">
      <alignment horizontal="right"/>
    </xf>
    <xf numFmtId="165" fontId="54" fillId="0" borderId="0" xfId="8" applyNumberFormat="1" applyFont="1" applyAlignment="1">
      <alignment horizontal="right"/>
    </xf>
    <xf numFmtId="0" fontId="139" fillId="0" borderId="0" xfId="8" applyFont="1"/>
    <xf numFmtId="0" fontId="113" fillId="0" borderId="0" xfId="8" applyFont="1" applyAlignment="1">
      <alignment horizontal="center"/>
    </xf>
    <xf numFmtId="187" fontId="54" fillId="0" borderId="0" xfId="8" quotePrefix="1" applyNumberFormat="1" applyFont="1"/>
    <xf numFmtId="3" fontId="54" fillId="0" borderId="0" xfId="8" quotePrefix="1" applyNumberFormat="1" applyFont="1"/>
    <xf numFmtId="3" fontId="54" fillId="0" borderId="0" xfId="8" quotePrefix="1" applyNumberFormat="1" applyFont="1" applyAlignment="1">
      <alignment horizontal="center"/>
    </xf>
    <xf numFmtId="187" fontId="54" fillId="0" borderId="0" xfId="8" applyNumberFormat="1" applyFont="1"/>
    <xf numFmtId="3" fontId="54" fillId="0" borderId="0" xfId="8" applyNumberFormat="1" applyFont="1"/>
    <xf numFmtId="0" fontId="137" fillId="0" borderId="0" xfId="8" applyFont="1" applyAlignment="1">
      <alignment horizontal="center"/>
    </xf>
    <xf numFmtId="190" fontId="54" fillId="0" borderId="0" xfId="8" applyNumberFormat="1" applyFont="1"/>
    <xf numFmtId="175" fontId="54" fillId="0" borderId="0" xfId="8" quotePrefix="1" applyNumberFormat="1" applyFont="1" applyAlignment="1">
      <alignment horizontal="right"/>
    </xf>
    <xf numFmtId="191" fontId="54" fillId="0" borderId="0" xfId="8" applyNumberFormat="1" applyFont="1"/>
    <xf numFmtId="175" fontId="54" fillId="0" borderId="0" xfId="8" quotePrefix="1" applyNumberFormat="1" applyFont="1"/>
    <xf numFmtId="0" fontId="48" fillId="0" borderId="0" xfId="860" applyFont="1" applyAlignment="1">
      <alignment horizontal="centerContinuous"/>
    </xf>
    <xf numFmtId="37" fontId="48" fillId="0" borderId="0" xfId="860" applyNumberFormat="1" applyFont="1" applyAlignment="1">
      <alignment horizontal="centerContinuous"/>
    </xf>
    <xf numFmtId="0" fontId="48" fillId="0" borderId="0" xfId="860" applyFont="1"/>
    <xf numFmtId="0" fontId="47" fillId="0" borderId="0" xfId="860" applyFont="1" applyAlignment="1">
      <alignment horizontal="centerContinuous"/>
    </xf>
    <xf numFmtId="37" fontId="70" fillId="0" borderId="0" xfId="860" applyNumberFormat="1" applyFont="1" applyAlignment="1">
      <alignment horizontal="centerContinuous"/>
    </xf>
    <xf numFmtId="0" fontId="47" fillId="0" borderId="0" xfId="860" applyFont="1"/>
    <xf numFmtId="0" fontId="48" fillId="0" borderId="46" xfId="860" applyFont="1" applyBorder="1" applyAlignment="1">
      <alignment horizontal="centerContinuous"/>
    </xf>
    <xf numFmtId="0" fontId="47" fillId="0" borderId="20" xfId="860" applyFont="1" applyBorder="1" applyAlignment="1">
      <alignment horizontal="centerContinuous"/>
    </xf>
    <xf numFmtId="37" fontId="70" fillId="0" borderId="47" xfId="860" applyNumberFormat="1" applyFont="1" applyBorder="1"/>
    <xf numFmtId="0" fontId="48" fillId="0" borderId="20" xfId="860" applyFont="1" applyBorder="1"/>
    <xf numFmtId="0" fontId="47" fillId="0" borderId="20" xfId="860" applyFont="1" applyBorder="1"/>
    <xf numFmtId="37" fontId="70" fillId="0" borderId="0" xfId="860" applyNumberFormat="1" applyFont="1"/>
    <xf numFmtId="37" fontId="47" fillId="0" borderId="0" xfId="860" applyNumberFormat="1" applyFont="1"/>
    <xf numFmtId="37" fontId="45" fillId="0" borderId="0" xfId="860" applyNumberFormat="1" applyFont="1"/>
    <xf numFmtId="0" fontId="47" fillId="0" borderId="45" xfId="860" applyFont="1" applyBorder="1"/>
    <xf numFmtId="0" fontId="140" fillId="0" borderId="0" xfId="860" applyFont="1"/>
    <xf numFmtId="37" fontId="47" fillId="0" borderId="0" xfId="860" applyNumberFormat="1" applyFont="1" applyAlignment="1">
      <alignment horizontal="left"/>
    </xf>
    <xf numFmtId="0" fontId="110" fillId="0" borderId="0" xfId="860" applyFont="1"/>
    <xf numFmtId="165" fontId="47" fillId="0" borderId="0" xfId="860" applyNumberFormat="1" applyFont="1" applyAlignment="1">
      <alignment horizontal="left"/>
    </xf>
    <xf numFmtId="0" fontId="141" fillId="0" borderId="0" xfId="860" applyFont="1" applyAlignment="1">
      <alignment vertical="top" wrapText="1"/>
    </xf>
    <xf numFmtId="0" fontId="84" fillId="0" borderId="0" xfId="860" applyFont="1"/>
    <xf numFmtId="0" fontId="47" fillId="0" borderId="0" xfId="860"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2" applyNumberFormat="1"/>
    <xf numFmtId="49" fontId="42" fillId="0" borderId="0" xfId="17"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2" applyNumberFormat="1"/>
    <xf numFmtId="165" fontId="42" fillId="0" borderId="0" xfId="0" applyNumberFormat="1" applyFont="1" applyProtection="1">
      <protection locked="0"/>
    </xf>
    <xf numFmtId="164" fontId="42" fillId="0" borderId="0" xfId="0" applyFont="1"/>
    <xf numFmtId="164" fontId="95" fillId="0" borderId="0" xfId="0" applyFont="1"/>
    <xf numFmtId="166" fontId="42" fillId="0" borderId="0" xfId="2" applyNumberFormat="1"/>
    <xf numFmtId="0" fontId="42" fillId="0" borderId="0" xfId="17" applyNumberFormat="1" applyAlignment="1">
      <alignment horizontal="left"/>
    </xf>
    <xf numFmtId="164" fontId="70" fillId="0" borderId="0" xfId="0" applyFont="1"/>
    <xf numFmtId="0" fontId="145" fillId="0" borderId="0" xfId="860" applyFont="1"/>
    <xf numFmtId="37" fontId="47" fillId="34" borderId="0" xfId="860" applyNumberFormat="1" applyFont="1" applyFill="1" applyAlignment="1">
      <alignment horizontal="left"/>
    </xf>
    <xf numFmtId="0" fontId="48" fillId="34" borderId="0" xfId="860" applyFont="1" applyFill="1"/>
    <xf numFmtId="174" fontId="42" fillId="0" borderId="0" xfId="2" applyNumberFormat="1"/>
    <xf numFmtId="170" fontId="42" fillId="0" borderId="0" xfId="2" quotePrefix="1" applyNumberFormat="1" applyAlignment="1">
      <alignment horizontal="center"/>
    </xf>
    <xf numFmtId="174" fontId="42" fillId="0" borderId="0" xfId="2" applyNumberFormat="1" applyAlignment="1">
      <alignment horizontal="right"/>
    </xf>
    <xf numFmtId="174" fontId="42" fillId="0" borderId="0" xfId="2" quotePrefix="1" applyNumberFormat="1" applyAlignment="1">
      <alignment horizontal="center"/>
    </xf>
    <xf numFmtId="186" fontId="97" fillId="0" borderId="0" xfId="8" applyNumberFormat="1"/>
    <xf numFmtId="0" fontId="42" fillId="0" borderId="0" xfId="17" quotePrefix="1" applyNumberFormat="1" applyAlignment="1">
      <alignment horizontal="left"/>
    </xf>
    <xf numFmtId="164" fontId="65" fillId="0" borderId="0" xfId="0" applyFont="1"/>
    <xf numFmtId="164" fontId="49" fillId="0" borderId="0" xfId="0" applyFont="1"/>
    <xf numFmtId="0" fontId="138" fillId="0" borderId="0" xfId="8" applyFont="1" applyAlignment="1">
      <alignment horizontal="left"/>
    </xf>
    <xf numFmtId="164" fontId="42" fillId="0" borderId="0" xfId="2"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2" applyNumberFormat="1" applyAlignment="1">
      <alignment horizontal="right"/>
    </xf>
    <xf numFmtId="170" fontId="42" fillId="0" borderId="0" xfId="2" quotePrefix="1" applyNumberFormat="1" applyAlignment="1">
      <alignment horizontal="right"/>
    </xf>
    <xf numFmtId="170" fontId="42" fillId="0" borderId="0" xfId="2" quotePrefix="1" applyNumberFormat="1"/>
    <xf numFmtId="174" fontId="129" fillId="0" borderId="0" xfId="2" applyNumberFormat="1" applyFont="1"/>
    <xf numFmtId="0" fontId="42" fillId="0" borderId="0" xfId="2"/>
    <xf numFmtId="180" fontId="65" fillId="0" borderId="0" xfId="836" applyNumberFormat="1" applyFont="1"/>
    <xf numFmtId="177" fontId="70" fillId="0" borderId="0" xfId="836" applyNumberFormat="1" applyFont="1" applyAlignment="1">
      <alignment horizontal="right"/>
    </xf>
    <xf numFmtId="177" fontId="70" fillId="0" borderId="0" xfId="836" applyNumberFormat="1" applyFont="1"/>
    <xf numFmtId="173" fontId="65" fillId="0" borderId="0" xfId="836" quotePrefix="1" applyNumberFormat="1" applyFont="1" applyAlignment="1">
      <alignment horizontal="left"/>
    </xf>
    <xf numFmtId="179" fontId="65" fillId="0" borderId="0" xfId="836" applyNumberFormat="1" applyFont="1"/>
    <xf numFmtId="179" fontId="70" fillId="0" borderId="0" xfId="836" applyNumberFormat="1" applyFont="1" applyAlignment="1">
      <alignment horizontal="right"/>
    </xf>
    <xf numFmtId="0" fontId="152" fillId="0" borderId="0" xfId="836" quotePrefix="1" applyFont="1" applyAlignment="1">
      <alignment horizontal="left"/>
    </xf>
    <xf numFmtId="173" fontId="80" fillId="0" borderId="0" xfId="836" applyNumberFormat="1" applyFont="1"/>
    <xf numFmtId="0" fontId="42" fillId="0" borderId="0" xfId="17" applyNumberFormat="1" applyAlignment="1">
      <alignment readingOrder="1"/>
    </xf>
    <xf numFmtId="0" fontId="42" fillId="0" borderId="0" xfId="17" applyNumberFormat="1"/>
    <xf numFmtId="0" fontId="42" fillId="0" borderId="0" xfId="17" applyNumberFormat="1" applyAlignment="1" applyProtection="1">
      <alignment readingOrder="1"/>
      <protection locked="0"/>
    </xf>
    <xf numFmtId="0" fontId="42" fillId="0" borderId="0" xfId="17" applyNumberFormat="1" applyProtection="1">
      <protection locked="0"/>
    </xf>
    <xf numFmtId="0" fontId="49" fillId="0" borderId="0" xfId="17"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40" applyNumberFormat="1" applyFont="1" applyAlignment="1">
      <alignment horizontal="right"/>
    </xf>
    <xf numFmtId="177" fontId="42" fillId="0" borderId="0" xfId="740" applyNumberFormat="1" applyFont="1"/>
    <xf numFmtId="177" fontId="42" fillId="0" borderId="0" xfId="740" quotePrefix="1" applyNumberFormat="1" applyFont="1" applyAlignment="1">
      <alignment horizontal="left"/>
    </xf>
    <xf numFmtId="177" fontId="97" fillId="0" borderId="0" xfId="740" applyNumberFormat="1" applyFont="1"/>
    <xf numFmtId="0" fontId="97" fillId="0" borderId="0" xfId="740" applyFont="1"/>
    <xf numFmtId="0" fontId="42" fillId="0" borderId="0" xfId="740" quotePrefix="1" applyFont="1" applyAlignment="1">
      <alignment horizontal="left"/>
    </xf>
    <xf numFmtId="181" fontId="42" fillId="0" borderId="0" xfId="741" applyNumberFormat="1" applyFont="1" applyFill="1" applyBorder="1" applyAlignment="1"/>
    <xf numFmtId="0" fontId="49" fillId="0" borderId="0" xfId="2" quotePrefix="1" applyFont="1" applyAlignment="1">
      <alignment horizontal="center"/>
    </xf>
    <xf numFmtId="17" fontId="49" fillId="0" borderId="0" xfId="2" applyNumberFormat="1" applyFont="1" applyAlignment="1">
      <alignment horizontal="center"/>
    </xf>
    <xf numFmtId="15" fontId="49" fillId="0" borderId="0" xfId="2" applyNumberFormat="1" applyFont="1" applyAlignment="1">
      <alignment horizontal="center"/>
    </xf>
    <xf numFmtId="166" fontId="62" fillId="0" borderId="0" xfId="2" applyNumberFormat="1" applyFont="1" applyAlignment="1">
      <alignment horizontal="center"/>
    </xf>
    <xf numFmtId="165" fontId="49" fillId="0" borderId="0" xfId="2" quotePrefix="1" applyNumberFormat="1" applyFont="1" applyAlignment="1">
      <alignment horizontal="center"/>
    </xf>
    <xf numFmtId="166" fontId="49" fillId="0" borderId="0" xfId="2" applyNumberFormat="1" applyFont="1" applyAlignment="1">
      <alignment horizontal="center"/>
    </xf>
    <xf numFmtId="165" fontId="49" fillId="0" borderId="0" xfId="2" applyNumberFormat="1" applyFont="1" applyAlignment="1">
      <alignment horizontal="center"/>
    </xf>
    <xf numFmtId="165" fontId="48" fillId="0" borderId="0" xfId="2" applyNumberFormat="1" applyFont="1"/>
    <xf numFmtId="165" fontId="154" fillId="0" borderId="0" xfId="2" applyNumberFormat="1" applyFont="1"/>
    <xf numFmtId="165" fontId="155" fillId="0" borderId="0" xfId="2"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60" applyFont="1" applyAlignment="1">
      <alignment horizontal="right"/>
    </xf>
    <xf numFmtId="164" fontId="47" fillId="0" borderId="0" xfId="2" applyNumberFormat="1" applyFont="1"/>
    <xf numFmtId="164" fontId="43" fillId="0" borderId="0" xfId="2" applyNumberFormat="1" applyFont="1" applyAlignment="1">
      <alignment horizontal="right"/>
    </xf>
    <xf numFmtId="164" fontId="45" fillId="0" borderId="0" xfId="2" applyNumberFormat="1" applyFont="1"/>
    <xf numFmtId="164" fontId="49" fillId="0" borderId="0" xfId="2"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2" applyNumberFormat="1" applyFont="1" applyBorder="1"/>
    <xf numFmtId="0" fontId="70" fillId="0" borderId="0" xfId="836" quotePrefix="1" applyFont="1"/>
    <xf numFmtId="43" fontId="47" fillId="0" borderId="0" xfId="0" applyNumberFormat="1" applyFont="1"/>
    <xf numFmtId="189" fontId="156" fillId="0" borderId="0" xfId="11" applyNumberFormat="1" applyFont="1" applyAlignment="1">
      <alignment horizontal="right"/>
    </xf>
    <xf numFmtId="4" fontId="49" fillId="0" borderId="0" xfId="1028" applyNumberFormat="1" applyFont="1" applyAlignment="1">
      <alignment horizontal="left"/>
    </xf>
    <xf numFmtId="37" fontId="101" fillId="0" borderId="0" xfId="0" applyNumberFormat="1" applyFont="1" applyAlignment="1">
      <alignment horizontal="right"/>
    </xf>
    <xf numFmtId="164" fontId="97" fillId="0" borderId="0" xfId="0" applyFont="1"/>
    <xf numFmtId="165" fontId="71" fillId="0" borderId="0" xfId="840" applyNumberFormat="1" applyFont="1" applyAlignment="1">
      <alignment horizontal="left"/>
    </xf>
    <xf numFmtId="0" fontId="71" fillId="0" borderId="0" xfId="840" applyFont="1" applyAlignment="1">
      <alignment horizontal="left"/>
    </xf>
    <xf numFmtId="0" fontId="42" fillId="0" borderId="0" xfId="840" applyFont="1" applyAlignment="1">
      <alignment horizontal="left"/>
    </xf>
    <xf numFmtId="0" fontId="42" fillId="0" borderId="0" xfId="2" applyAlignment="1">
      <alignment horizontal="left"/>
    </xf>
    <xf numFmtId="0" fontId="70" fillId="0" borderId="0" xfId="2" applyFont="1" applyAlignment="1" applyProtection="1">
      <alignment horizontal="left"/>
      <protection locked="0"/>
    </xf>
    <xf numFmtId="37" fontId="70" fillId="0" borderId="0" xfId="2" applyNumberFormat="1" applyFont="1" applyAlignment="1">
      <alignment horizontal="center"/>
    </xf>
    <xf numFmtId="37" fontId="70" fillId="0" borderId="0" xfId="2" quotePrefix="1" applyNumberFormat="1" applyFont="1" applyAlignment="1">
      <alignment horizontal="center"/>
    </xf>
    <xf numFmtId="165" fontId="42" fillId="0" borderId="0" xfId="2" applyNumberFormat="1" applyProtection="1">
      <protection locked="0"/>
    </xf>
    <xf numFmtId="165" fontId="42" fillId="0" borderId="0" xfId="17" applyNumberFormat="1" applyProtection="1">
      <protection locked="0"/>
    </xf>
    <xf numFmtId="0" fontId="49" fillId="0" borderId="0" xfId="17" applyNumberFormat="1" applyFont="1"/>
    <xf numFmtId="170" fontId="49" fillId="0" borderId="45" xfId="2" applyNumberFormat="1" applyFont="1" applyBorder="1"/>
    <xf numFmtId="43" fontId="48" fillId="0" borderId="0" xfId="0" applyNumberFormat="1" applyFont="1"/>
    <xf numFmtId="0" fontId="102" fillId="0" borderId="0" xfId="17" applyNumberFormat="1" applyFont="1"/>
    <xf numFmtId="0" fontId="107" fillId="0" borderId="0" xfId="17" applyNumberFormat="1" applyFont="1" applyProtection="1">
      <protection locked="0"/>
    </xf>
    <xf numFmtId="0" fontId="107" fillId="0" borderId="0" xfId="17" applyNumberFormat="1" applyFont="1"/>
    <xf numFmtId="0" fontId="107" fillId="0" borderId="0" xfId="17" applyNumberFormat="1" applyFont="1" applyAlignment="1">
      <alignment horizontal="center"/>
    </xf>
    <xf numFmtId="0" fontId="48" fillId="0" borderId="0" xfId="8" applyFont="1" applyAlignment="1">
      <alignment horizontal="right"/>
    </xf>
    <xf numFmtId="165" fontId="42" fillId="0" borderId="0" xfId="2" applyNumberFormat="1"/>
    <xf numFmtId="165" fontId="42" fillId="0" borderId="0" xfId="2" applyNumberFormat="1" applyAlignment="1">
      <alignment horizontal="centerContinuous"/>
    </xf>
    <xf numFmtId="0" fontId="78" fillId="0" borderId="0" xfId="2" applyFont="1" applyAlignment="1">
      <alignment horizontal="left"/>
    </xf>
    <xf numFmtId="170" fontId="42" fillId="0" borderId="0" xfId="2" applyNumberFormat="1" applyAlignment="1">
      <alignment horizontal="center"/>
    </xf>
    <xf numFmtId="164" fontId="49" fillId="0" borderId="45" xfId="2" applyNumberFormat="1" applyFont="1" applyBorder="1"/>
    <xf numFmtId="179" fontId="0" fillId="0" borderId="0" xfId="17" applyNumberFormat="1" applyFont="1"/>
    <xf numFmtId="17" fontId="49" fillId="0" borderId="45" xfId="2" quotePrefix="1" applyNumberFormat="1" applyFont="1" applyBorder="1" applyAlignment="1">
      <alignment horizontal="center"/>
    </xf>
    <xf numFmtId="178" fontId="70" fillId="0" borderId="0" xfId="836" quotePrefix="1" applyNumberFormat="1" applyFont="1" applyAlignment="1">
      <alignment horizontal="center"/>
    </xf>
    <xf numFmtId="0" fontId="159" fillId="0" borderId="0" xfId="2" applyFont="1"/>
    <xf numFmtId="0" fontId="49" fillId="0" borderId="0" xfId="840" quotePrefix="1" applyFont="1" applyAlignment="1">
      <alignment horizontal="center"/>
    </xf>
    <xf numFmtId="164" fontId="42" fillId="0" borderId="0" xfId="0" applyFont="1" applyProtection="1">
      <protection locked="0"/>
    </xf>
    <xf numFmtId="0" fontId="161" fillId="0" borderId="0" xfId="0" applyNumberFormat="1" applyFont="1"/>
    <xf numFmtId="41" fontId="161" fillId="0" borderId="0" xfId="0" applyNumberFormat="1" applyFont="1"/>
    <xf numFmtId="0" fontId="47" fillId="0" borderId="0" xfId="0" applyNumberFormat="1" applyFont="1" applyAlignment="1">
      <alignment horizontal="left" vertical="top" wrapText="1"/>
    </xf>
    <xf numFmtId="165" fontId="42" fillId="34" borderId="0" xfId="5458" applyNumberFormat="1" applyFill="1" applyProtection="1">
      <protection locked="0"/>
    </xf>
    <xf numFmtId="37" fontId="42" fillId="0" borderId="0" xfId="2" applyNumberFormat="1" applyAlignment="1">
      <alignment horizontal="right"/>
    </xf>
    <xf numFmtId="169" fontId="42" fillId="0" borderId="0" xfId="2" applyNumberFormat="1"/>
    <xf numFmtId="37" fontId="42" fillId="0" borderId="0" xfId="2" quotePrefix="1" applyNumberFormat="1" applyAlignment="1">
      <alignment horizontal="center"/>
    </xf>
    <xf numFmtId="170" fontId="42" fillId="0" borderId="45" xfId="2" applyNumberFormat="1" applyBorder="1" applyAlignment="1">
      <alignment horizontal="right"/>
    </xf>
    <xf numFmtId="170" fontId="42" fillId="0" borderId="45" xfId="2" applyNumberFormat="1" applyBorder="1"/>
    <xf numFmtId="166" fontId="42" fillId="0" borderId="0" xfId="2" applyNumberFormat="1" applyAlignment="1">
      <alignment horizontal="right"/>
    </xf>
    <xf numFmtId="3" fontId="42" fillId="0" borderId="0" xfId="2" applyNumberFormat="1"/>
    <xf numFmtId="0" fontId="42" fillId="0" borderId="0" xfId="5458" applyNumberFormat="1" applyAlignment="1">
      <alignment horizontal="left"/>
    </xf>
    <xf numFmtId="165" fontId="42" fillId="0" borderId="0" xfId="5458" applyNumberFormat="1" applyProtection="1">
      <protection locked="0"/>
    </xf>
    <xf numFmtId="174" fontId="42" fillId="0" borderId="0" xfId="2" quotePrefix="1" applyNumberFormat="1" applyAlignment="1">
      <alignment horizontal="right"/>
    </xf>
    <xf numFmtId="37" fontId="42" fillId="0" borderId="0" xfId="2" applyNumberFormat="1" applyAlignment="1">
      <alignment horizontal="center"/>
    </xf>
    <xf numFmtId="174" fontId="42" fillId="0" borderId="0" xfId="2" quotePrefix="1" applyNumberFormat="1"/>
    <xf numFmtId="166" fontId="63" fillId="0" borderId="19" xfId="2" applyNumberFormat="1" applyFont="1" applyBorder="1"/>
    <xf numFmtId="170" fontId="63" fillId="0" borderId="19" xfId="2" applyNumberFormat="1" applyFont="1" applyBorder="1"/>
    <xf numFmtId="37" fontId="133" fillId="0" borderId="0" xfId="2" applyNumberFormat="1" applyFont="1" applyAlignment="1">
      <alignment horizontal="centerContinuous"/>
    </xf>
    <xf numFmtId="170" fontId="49" fillId="0" borderId="0" xfId="2" quotePrefix="1" applyNumberFormat="1" applyFont="1"/>
    <xf numFmtId="0" fontId="49" fillId="0" borderId="14" xfId="2" applyFont="1" applyBorder="1" applyAlignment="1">
      <alignment horizontal="center"/>
    </xf>
    <xf numFmtId="0" fontId="49" fillId="0" borderId="14" xfId="2" quotePrefix="1" applyFont="1" applyBorder="1" applyAlignment="1">
      <alignment horizontal="center"/>
    </xf>
    <xf numFmtId="170" fontId="49" fillId="0" borderId="14" xfId="2" quotePrefix="1" applyNumberFormat="1" applyFont="1" applyBorder="1"/>
    <xf numFmtId="170" fontId="49" fillId="0" borderId="14" xfId="2" applyNumberFormat="1" applyFont="1" applyBorder="1" applyAlignment="1">
      <alignment vertical="center"/>
    </xf>
    <xf numFmtId="0" fontId="49" fillId="0" borderId="14" xfId="2" applyFont="1" applyBorder="1"/>
    <xf numFmtId="0" fontId="42" fillId="0" borderId="0" xfId="2" applyAlignment="1">
      <alignment horizontal="centerContinuous"/>
    </xf>
    <xf numFmtId="165" fontId="42" fillId="0" borderId="0" xfId="2" applyNumberFormat="1" applyAlignment="1" applyProtection="1">
      <alignment horizontal="center"/>
      <protection locked="0"/>
    </xf>
    <xf numFmtId="165" fontId="42" fillId="0" borderId="14" xfId="2" applyNumberFormat="1" applyBorder="1" applyProtection="1">
      <protection locked="0"/>
    </xf>
    <xf numFmtId="0" fontId="42" fillId="0" borderId="14" xfId="2" applyBorder="1"/>
    <xf numFmtId="169" fontId="42" fillId="0" borderId="14" xfId="2" applyNumberFormat="1" applyBorder="1"/>
    <xf numFmtId="168" fontId="42" fillId="0" borderId="0" xfId="2" applyNumberFormat="1" applyProtection="1">
      <protection locked="0"/>
    </xf>
    <xf numFmtId="168" fontId="42" fillId="0" borderId="0" xfId="2" applyNumberFormat="1"/>
    <xf numFmtId="166" fontId="42" fillId="0" borderId="14" xfId="2" applyNumberFormat="1" applyBorder="1"/>
    <xf numFmtId="0" fontId="42" fillId="0" borderId="14" xfId="2" quotePrefix="1" applyBorder="1"/>
    <xf numFmtId="0" fontId="42" fillId="0" borderId="14" xfId="2" quotePrefix="1" applyBorder="1" applyAlignment="1">
      <alignment horizontal="center"/>
    </xf>
    <xf numFmtId="0" fontId="42" fillId="0" borderId="14" xfId="2" quotePrefix="1" applyBorder="1" applyAlignment="1">
      <alignment horizontal="right"/>
    </xf>
    <xf numFmtId="169" fontId="42" fillId="0" borderId="20" xfId="2" applyNumberFormat="1" applyBorder="1"/>
    <xf numFmtId="170" fontId="42" fillId="0" borderId="0" xfId="2" applyNumberFormat="1" applyProtection="1">
      <protection locked="0"/>
    </xf>
    <xf numFmtId="0" fontId="42" fillId="0" borderId="0" xfId="2" quotePrefix="1" applyAlignment="1">
      <alignment horizontal="left"/>
    </xf>
    <xf numFmtId="170" fontId="49" fillId="0" borderId="0" xfId="4" applyNumberFormat="1" applyFont="1"/>
    <xf numFmtId="170" fontId="49" fillId="0" borderId="0" xfId="5" applyNumberFormat="1" applyFont="1" applyFill="1" applyBorder="1"/>
    <xf numFmtId="165" fontId="49" fillId="0" borderId="45" xfId="2" applyNumberFormat="1" applyFont="1" applyBorder="1" applyAlignment="1">
      <alignment horizontal="center"/>
    </xf>
    <xf numFmtId="164" fontId="49" fillId="0" borderId="25" xfId="2" applyNumberFormat="1" applyFont="1" applyBorder="1"/>
    <xf numFmtId="0" fontId="52" fillId="0" borderId="0" xfId="2" applyFont="1"/>
    <xf numFmtId="170" fontId="85" fillId="0" borderId="0" xfId="2" applyNumberFormat="1" applyFont="1"/>
    <xf numFmtId="170" fontId="49" fillId="0" borderId="25" xfId="2" applyNumberFormat="1" applyFont="1" applyBorder="1" applyAlignment="1">
      <alignment horizontal="right"/>
    </xf>
    <xf numFmtId="165" fontId="42" fillId="0" borderId="0" xfId="0" applyNumberFormat="1" applyFont="1" applyAlignment="1">
      <alignment horizontal="left"/>
    </xf>
    <xf numFmtId="165" fontId="0" fillId="0" borderId="0" xfId="2" applyNumberFormat="1" applyFont="1"/>
    <xf numFmtId="170" fontId="47" fillId="0" borderId="0" xfId="2" applyNumberFormat="1" applyFont="1"/>
    <xf numFmtId="170" fontId="42" fillId="0" borderId="0" xfId="1" applyNumberFormat="1" applyFont="1" applyFill="1" applyAlignment="1">
      <alignment horizontal="center"/>
    </xf>
    <xf numFmtId="174" fontId="42" fillId="0" borderId="0" xfId="2" applyNumberFormat="1" applyProtection="1">
      <protection locked="0"/>
    </xf>
    <xf numFmtId="174" fontId="0" fillId="0" borderId="0" xfId="2" applyNumberFormat="1" applyFont="1"/>
    <xf numFmtId="37" fontId="49" fillId="0" borderId="45" xfId="2" applyNumberFormat="1" applyFont="1" applyBorder="1"/>
    <xf numFmtId="37" fontId="49" fillId="0" borderId="45" xfId="2" applyNumberFormat="1" applyFont="1" applyBorder="1" applyAlignment="1">
      <alignment horizontal="centerContinuous"/>
    </xf>
    <xf numFmtId="166" fontId="42" fillId="0" borderId="0" xfId="2" applyNumberFormat="1" applyAlignment="1">
      <alignment horizontal="left"/>
    </xf>
    <xf numFmtId="0" fontId="49" fillId="0" borderId="0" xfId="17" applyNumberFormat="1" applyFont="1" applyAlignment="1" applyProtection="1">
      <alignment horizontal="right"/>
      <protection locked="0"/>
    </xf>
    <xf numFmtId="37" fontId="49" fillId="0" borderId="45" xfId="2" applyNumberFormat="1" applyFont="1" applyBorder="1" applyAlignment="1">
      <alignment horizontal="center"/>
    </xf>
    <xf numFmtId="174" fontId="42" fillId="0" borderId="17" xfId="2" applyNumberFormat="1" applyBorder="1"/>
    <xf numFmtId="43" fontId="42" fillId="0" borderId="0" xfId="1767" applyNumberFormat="1" applyFont="1" applyAlignment="1">
      <alignment horizontal="right"/>
    </xf>
    <xf numFmtId="0" fontId="97" fillId="0" borderId="0" xfId="1767"/>
    <xf numFmtId="0" fontId="42" fillId="0" borderId="0" xfId="739"/>
    <xf numFmtId="37" fontId="42" fillId="0" borderId="0" xfId="739" applyNumberFormat="1"/>
    <xf numFmtId="164" fontId="43" fillId="0" borderId="0" xfId="0" applyFont="1" applyAlignment="1">
      <alignment horizontal="right"/>
    </xf>
    <xf numFmtId="0" fontId="42" fillId="0" borderId="0" xfId="739" applyAlignment="1">
      <alignment horizontal="centerContinuous"/>
    </xf>
    <xf numFmtId="166" fontId="42" fillId="0" borderId="0" xfId="739" applyNumberFormat="1" applyProtection="1">
      <protection locked="0"/>
    </xf>
    <xf numFmtId="0" fontId="42" fillId="0" borderId="0" xfId="739" applyAlignment="1">
      <alignment horizontal="left"/>
    </xf>
    <xf numFmtId="0" fontId="42" fillId="0" borderId="0" xfId="1776"/>
    <xf numFmtId="39" fontId="42" fillId="0" borderId="0" xfId="1776" applyNumberFormat="1"/>
    <xf numFmtId="165" fontId="65" fillId="0" borderId="0" xfId="1776" applyNumberFormat="1" applyFont="1" applyAlignment="1">
      <alignment horizontal="left"/>
    </xf>
    <xf numFmtId="39" fontId="65" fillId="0" borderId="0" xfId="1776" applyNumberFormat="1" applyFont="1"/>
    <xf numFmtId="0" fontId="65" fillId="0" borderId="0" xfId="1776" applyFont="1"/>
    <xf numFmtId="0" fontId="42" fillId="0" borderId="0" xfId="1776" applyAlignment="1">
      <alignment horizontal="left"/>
    </xf>
    <xf numFmtId="39" fontId="42" fillId="0" borderId="0" xfId="1776" applyNumberFormat="1" applyAlignment="1">
      <alignment horizontal="center"/>
    </xf>
    <xf numFmtId="165" fontId="49" fillId="0" borderId="0" xfId="1776" applyNumberFormat="1" applyFont="1"/>
    <xf numFmtId="39" fontId="49" fillId="0" borderId="0" xfId="1776" applyNumberFormat="1" applyFont="1"/>
    <xf numFmtId="0" fontId="49" fillId="0" borderId="0" xfId="1776" applyFont="1"/>
    <xf numFmtId="39" fontId="49" fillId="0" borderId="0" xfId="1776" applyNumberFormat="1" applyFont="1" applyAlignment="1">
      <alignment horizontal="center"/>
    </xf>
    <xf numFmtId="44" fontId="49" fillId="0" borderId="0" xfId="1776" applyNumberFormat="1" applyFont="1"/>
    <xf numFmtId="8" fontId="49" fillId="0" borderId="0" xfId="1776" applyNumberFormat="1" applyFont="1"/>
    <xf numFmtId="40" fontId="49" fillId="0" borderId="0" xfId="1776" applyNumberFormat="1" applyFont="1"/>
    <xf numFmtId="43" fontId="42" fillId="0" borderId="0" xfId="1776" applyNumberFormat="1"/>
    <xf numFmtId="0" fontId="49" fillId="0" borderId="0" xfId="1776" applyFont="1" applyAlignment="1">
      <alignment horizontal="left"/>
    </xf>
    <xf numFmtId="0" fontId="42" fillId="0" borderId="0" xfId="1776" quotePrefix="1" applyAlignment="1">
      <alignment horizontal="left"/>
    </xf>
    <xf numFmtId="43" fontId="49" fillId="0" borderId="0" xfId="1776" applyNumberFormat="1" applyFont="1" applyAlignment="1">
      <alignment horizontal="right"/>
    </xf>
    <xf numFmtId="43" fontId="42" fillId="0" borderId="0" xfId="1776" applyNumberFormat="1" applyAlignment="1">
      <alignment horizontal="right"/>
    </xf>
    <xf numFmtId="39" fontId="42" fillId="0" borderId="26" xfId="1776" applyNumberFormat="1" applyBorder="1"/>
    <xf numFmtId="39" fontId="49" fillId="0" borderId="0" xfId="1776" quotePrefix="1" applyNumberFormat="1" applyFont="1" applyAlignment="1">
      <alignment horizontal="left"/>
    </xf>
    <xf numFmtId="4" fontId="49" fillId="0" borderId="0" xfId="1776" applyNumberFormat="1" applyFont="1"/>
    <xf numFmtId="0" fontId="83" fillId="0" borderId="0" xfId="1776" applyFont="1"/>
    <xf numFmtId="165" fontId="42" fillId="0" borderId="0" xfId="1776" applyNumberFormat="1" applyProtection="1">
      <protection locked="0"/>
    </xf>
    <xf numFmtId="0" fontId="56" fillId="0" borderId="0" xfId="1776" applyFont="1" applyAlignment="1">
      <alignment horizontal="left"/>
    </xf>
    <xf numFmtId="165" fontId="89" fillId="0" borderId="0" xfId="1776" applyNumberFormat="1" applyFont="1"/>
    <xf numFmtId="39" fontId="89" fillId="0" borderId="0" xfId="1776" applyNumberFormat="1" applyFont="1"/>
    <xf numFmtId="44" fontId="49" fillId="0" borderId="17" xfId="1776" applyNumberFormat="1" applyFont="1" applyBorder="1"/>
    <xf numFmtId="39" fontId="42" fillId="0" borderId="17" xfId="1776" applyNumberFormat="1" applyBorder="1"/>
    <xf numFmtId="43" fontId="42" fillId="0" borderId="17" xfId="1776" applyNumberFormat="1" applyBorder="1"/>
    <xf numFmtId="43" fontId="42" fillId="0" borderId="16" xfId="1776" applyNumberFormat="1" applyBorder="1"/>
    <xf numFmtId="43" fontId="49" fillId="0" borderId="17" xfId="1776" applyNumberFormat="1" applyFont="1" applyBorder="1"/>
    <xf numFmtId="43" fontId="49" fillId="0" borderId="0" xfId="1776" applyNumberFormat="1" applyFont="1"/>
    <xf numFmtId="43" fontId="93" fillId="0" borderId="0" xfId="1776" applyNumberFormat="1" applyFont="1"/>
    <xf numFmtId="43" fontId="49" fillId="0" borderId="16" xfId="1776" applyNumberFormat="1" applyFont="1" applyBorder="1"/>
    <xf numFmtId="39" fontId="42" fillId="0" borderId="16" xfId="1776" applyNumberFormat="1" applyBorder="1"/>
    <xf numFmtId="44" fontId="49" fillId="0" borderId="16" xfId="1776" applyNumberFormat="1" applyFont="1" applyBorder="1"/>
    <xf numFmtId="39" fontId="42" fillId="0" borderId="20" xfId="1776" applyNumberFormat="1" applyBorder="1"/>
    <xf numFmtId="165" fontId="45" fillId="0" borderId="0" xfId="840" applyNumberFormat="1" applyFont="1" applyProtection="1">
      <protection locked="0"/>
    </xf>
    <xf numFmtId="40" fontId="42" fillId="0" borderId="0" xfId="840" applyNumberFormat="1" applyFont="1" applyAlignment="1">
      <alignment horizontal="center"/>
    </xf>
    <xf numFmtId="189" fontId="42" fillId="0" borderId="0" xfId="11" applyNumberFormat="1" applyFont="1" applyAlignment="1">
      <alignment horizontal="center"/>
    </xf>
    <xf numFmtId="40" fontId="42" fillId="0" borderId="0" xfId="840" quotePrefix="1" applyNumberFormat="1" applyFont="1" applyAlignment="1">
      <alignment horizontal="center"/>
    </xf>
    <xf numFmtId="165" fontId="42" fillId="0" borderId="0" xfId="840" applyNumberFormat="1" applyFont="1"/>
    <xf numFmtId="39" fontId="42" fillId="0" borderId="0" xfId="840" applyNumberFormat="1" applyFont="1"/>
    <xf numFmtId="40" fontId="42" fillId="0" borderId="0" xfId="840" applyNumberFormat="1" applyFont="1"/>
    <xf numFmtId="42" fontId="42" fillId="0" borderId="0" xfId="840" applyNumberFormat="1" applyFont="1"/>
    <xf numFmtId="0" fontId="42" fillId="0" borderId="0" xfId="840" applyFont="1"/>
    <xf numFmtId="37" fontId="42" fillId="0" borderId="0" xfId="840" applyNumberFormat="1" applyFont="1"/>
    <xf numFmtId="189" fontId="42" fillId="0" borderId="0" xfId="11" applyNumberFormat="1" applyFont="1" applyAlignment="1"/>
    <xf numFmtId="41" fontId="42" fillId="0" borderId="0" xfId="840" applyNumberFormat="1" applyFont="1"/>
    <xf numFmtId="41" fontId="42" fillId="0" borderId="0" xfId="11" applyNumberFormat="1" applyFont="1" applyFill="1" applyAlignment="1"/>
    <xf numFmtId="41" fontId="42" fillId="0" borderId="0" xfId="840" quotePrefix="1" applyNumberFormat="1" applyFont="1" applyAlignment="1">
      <alignment horizontal="center"/>
    </xf>
    <xf numFmtId="41" fontId="42" fillId="0" borderId="0" xfId="11" applyNumberFormat="1" applyFont="1" applyAlignment="1"/>
    <xf numFmtId="41" fontId="42" fillId="0" borderId="0" xfId="840" applyNumberFormat="1" applyFont="1" applyAlignment="1">
      <alignment horizontal="right"/>
    </xf>
    <xf numFmtId="41" fontId="42" fillId="0" borderId="0" xfId="840" quotePrefix="1" applyNumberFormat="1" applyFont="1" applyAlignment="1">
      <alignment horizontal="right"/>
    </xf>
    <xf numFmtId="189" fontId="42" fillId="0" borderId="0" xfId="11" applyNumberFormat="1" applyFont="1" applyBorder="1" applyAlignment="1"/>
    <xf numFmtId="174" fontId="42" fillId="0" borderId="0" xfId="17" applyNumberFormat="1"/>
    <xf numFmtId="170" fontId="42" fillId="0" borderId="0" xfId="17" applyNumberFormat="1"/>
    <xf numFmtId="174" fontId="42" fillId="0" borderId="0" xfId="1049" applyNumberFormat="1" applyAlignment="1">
      <alignment horizontal="center"/>
    </xf>
    <xf numFmtId="170" fontId="42" fillId="0" borderId="0" xfId="17" applyNumberFormat="1" applyProtection="1">
      <protection locked="0"/>
    </xf>
    <xf numFmtId="170" fontId="42" fillId="0" borderId="0" xfId="17" applyNumberFormat="1" applyAlignment="1">
      <alignment horizontal="right"/>
    </xf>
    <xf numFmtId="186" fontId="42" fillId="0" borderId="0" xfId="17" applyNumberFormat="1"/>
    <xf numFmtId="0" fontId="0" fillId="0" borderId="0" xfId="2" applyFont="1" applyAlignment="1">
      <alignment horizontal="right"/>
    </xf>
    <xf numFmtId="165" fontId="67" fillId="0" borderId="0" xfId="2" applyNumberFormat="1" applyFont="1" applyAlignment="1">
      <alignment horizontal="center"/>
    </xf>
    <xf numFmtId="193" fontId="42" fillId="0" borderId="0" xfId="2" applyNumberFormat="1" applyProtection="1">
      <protection locked="0"/>
    </xf>
    <xf numFmtId="39" fontId="70" fillId="0" borderId="0" xfId="1776" applyNumberFormat="1" applyFont="1" applyAlignment="1">
      <alignment horizontal="right" vertical="top"/>
    </xf>
    <xf numFmtId="0" fontId="70" fillId="0" borderId="0" xfId="1776" applyFont="1" applyAlignment="1">
      <alignment horizontal="left"/>
    </xf>
    <xf numFmtId="0" fontId="49" fillId="0" borderId="0" xfId="1776" applyFont="1" applyAlignment="1">
      <alignment horizontal="left" vertical="top"/>
    </xf>
    <xf numFmtId="0" fontId="70" fillId="0" borderId="0" xfId="1776" applyFont="1" applyAlignment="1">
      <alignment horizontal="center"/>
    </xf>
    <xf numFmtId="39" fontId="45" fillId="0" borderId="0" xfId="1776" applyNumberFormat="1" applyFont="1" applyAlignment="1">
      <alignment horizontal="centerContinuous"/>
    </xf>
    <xf numFmtId="0" fontId="65" fillId="0" borderId="0" xfId="1776" applyFont="1" applyAlignment="1">
      <alignment horizontal="left"/>
    </xf>
    <xf numFmtId="0" fontId="42" fillId="0" borderId="0" xfId="1776" applyAlignment="1">
      <alignment horizontal="center"/>
    </xf>
    <xf numFmtId="170" fontId="42" fillId="0" borderId="0" xfId="0" quotePrefix="1" applyNumberFormat="1" applyFont="1" applyAlignment="1">
      <alignment horizontal="right"/>
    </xf>
    <xf numFmtId="0" fontId="162" fillId="0" borderId="0" xfId="861" applyNumberFormat="1" applyFont="1" applyAlignment="1" applyProtection="1"/>
    <xf numFmtId="0" fontId="162" fillId="0" borderId="0" xfId="860" applyFont="1"/>
    <xf numFmtId="0" fontId="163" fillId="0" borderId="0" xfId="860" applyFont="1"/>
    <xf numFmtId="0" fontId="162" fillId="0" borderId="0" xfId="861" quotePrefix="1" applyNumberFormat="1" applyFont="1" applyBorder="1" applyAlignment="1" applyProtection="1">
      <alignment horizontal="left"/>
    </xf>
    <xf numFmtId="0" fontId="162" fillId="0" borderId="0" xfId="861" applyNumberFormat="1" applyFont="1" applyBorder="1" applyAlignment="1" applyProtection="1"/>
    <xf numFmtId="0" fontId="146" fillId="0" borderId="0" xfId="861" applyNumberFormat="1" applyAlignment="1" applyProtection="1"/>
    <xf numFmtId="170" fontId="42" fillId="0" borderId="27" xfId="2" applyNumberFormat="1" applyBorder="1"/>
    <xf numFmtId="164" fontId="42" fillId="0" borderId="0" xfId="1940" applyNumberFormat="1" applyFont="1" applyAlignment="1"/>
    <xf numFmtId="164" fontId="49" fillId="0" borderId="45" xfId="1940" applyNumberFormat="1" applyFont="1" applyBorder="1" applyAlignment="1"/>
    <xf numFmtId="174" fontId="42" fillId="0" borderId="14" xfId="2" applyNumberFormat="1" applyBorder="1"/>
    <xf numFmtId="170" fontId="42" fillId="0" borderId="17" xfId="2" applyNumberFormat="1" applyBorder="1"/>
    <xf numFmtId="170" fontId="42" fillId="0" borderId="16" xfId="2" applyNumberFormat="1" applyBorder="1"/>
    <xf numFmtId="170" fontId="42" fillId="0" borderId="14" xfId="2" applyNumberFormat="1" applyBorder="1"/>
    <xf numFmtId="43" fontId="42" fillId="0" borderId="0" xfId="2" applyNumberFormat="1"/>
    <xf numFmtId="170" fontId="42" fillId="0" borderId="14" xfId="2" quotePrefix="1" applyNumberFormat="1" applyBorder="1" applyAlignment="1">
      <alignment horizontal="right"/>
    </xf>
    <xf numFmtId="170" fontId="42" fillId="0" borderId="14" xfId="2" quotePrefix="1" applyNumberFormat="1" applyBorder="1"/>
    <xf numFmtId="0" fontId="42" fillId="0" borderId="0" xfId="2" quotePrefix="1" applyAlignment="1">
      <alignment horizontal="right"/>
    </xf>
    <xf numFmtId="165" fontId="42" fillId="0" borderId="0" xfId="2" applyNumberFormat="1" applyAlignment="1">
      <alignment horizontal="right"/>
    </xf>
    <xf numFmtId="170" fontId="42" fillId="0" borderId="0" xfId="0" applyNumberFormat="1" applyFont="1" applyAlignment="1">
      <alignment horizontal="right"/>
    </xf>
    <xf numFmtId="0" fontId="49" fillId="0" borderId="0" xfId="2" applyFont="1" applyAlignment="1" applyProtection="1">
      <alignment horizontal="center"/>
      <protection locked="0"/>
    </xf>
    <xf numFmtId="164" fontId="42" fillId="0" borderId="45" xfId="0" applyFont="1" applyBorder="1"/>
    <xf numFmtId="164" fontId="42" fillId="0" borderId="45" xfId="2" applyNumberFormat="1" applyBorder="1" applyAlignment="1">
      <alignment horizontal="right"/>
    </xf>
    <xf numFmtId="164" fontId="42" fillId="0" borderId="0" xfId="2" applyNumberFormat="1" applyAlignment="1">
      <alignment horizontal="right"/>
    </xf>
    <xf numFmtId="164" fontId="49" fillId="0" borderId="45" xfId="2"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2" quotePrefix="1" applyFont="1" applyAlignment="1">
      <alignment horizontal="left"/>
    </xf>
    <xf numFmtId="41" fontId="42" fillId="0" borderId="0" xfId="739" applyNumberFormat="1"/>
    <xf numFmtId="172" fontId="42" fillId="0" borderId="0" xfId="0" applyNumberFormat="1" applyFont="1"/>
    <xf numFmtId="172" fontId="49" fillId="0" borderId="0" xfId="0" applyNumberFormat="1" applyFont="1"/>
    <xf numFmtId="0" fontId="138" fillId="0" borderId="0" xfId="8" applyFont="1"/>
    <xf numFmtId="0" fontId="42" fillId="0" borderId="0" xfId="8" applyFont="1"/>
    <xf numFmtId="3" fontId="54" fillId="0" borderId="0" xfId="8" quotePrefix="1" applyNumberFormat="1" applyFont="1" applyAlignment="1">
      <alignment horizontal="right"/>
    </xf>
    <xf numFmtId="41" fontId="47" fillId="0" borderId="0" xfId="1773" applyNumberFormat="1" applyFont="1" applyFill="1"/>
    <xf numFmtId="172" fontId="42" fillId="0" borderId="0" xfId="1940" applyNumberFormat="1" applyFont="1" applyBorder="1" applyAlignment="1" applyProtection="1"/>
    <xf numFmtId="0" fontId="48" fillId="0" borderId="0" xfId="9967" applyFont="1" applyAlignment="1">
      <alignment horizontal="center"/>
    </xf>
    <xf numFmtId="43" fontId="48" fillId="0" borderId="0" xfId="9967" applyNumberFormat="1" applyFont="1" applyAlignment="1">
      <alignment horizontal="center"/>
    </xf>
    <xf numFmtId="0" fontId="48" fillId="0" borderId="0" xfId="9967" quotePrefix="1" applyFont="1" applyAlignment="1">
      <alignment horizontal="center"/>
    </xf>
    <xf numFmtId="0" fontId="43" fillId="0" borderId="0" xfId="2" quotePrefix="1" applyFont="1" applyAlignment="1">
      <alignment horizontal="left"/>
    </xf>
    <xf numFmtId="0" fontId="42" fillId="0" borderId="0" xfId="5517" applyFont="1"/>
    <xf numFmtId="170" fontId="42" fillId="0" borderId="0" xfId="5517" applyNumberFormat="1" applyFont="1"/>
    <xf numFmtId="185" fontId="48" fillId="0" borderId="47" xfId="860" quotePrefix="1" applyNumberFormat="1" applyFont="1" applyBorder="1" applyAlignment="1">
      <alignment horizontal="centerContinuous"/>
    </xf>
    <xf numFmtId="37" fontId="174" fillId="0" borderId="0" xfId="2" applyNumberFormat="1" applyFont="1"/>
    <xf numFmtId="174" fontId="174" fillId="0" borderId="0" xfId="2" applyNumberFormat="1" applyFont="1"/>
    <xf numFmtId="0" fontId="48" fillId="0" borderId="0" xfId="0" quotePrefix="1" applyNumberFormat="1" applyFont="1" applyAlignment="1">
      <alignment horizontal="left"/>
    </xf>
    <xf numFmtId="0" fontId="62" fillId="0" borderId="0" xfId="2" quotePrefix="1" applyFont="1" applyAlignment="1">
      <alignment horizontal="center"/>
    </xf>
    <xf numFmtId="44" fontId="47" fillId="0" borderId="0" xfId="0" applyNumberFormat="1" applyFont="1"/>
    <xf numFmtId="0" fontId="97" fillId="0" borderId="0" xfId="8"/>
    <xf numFmtId="172" fontId="0" fillId="0" borderId="0" xfId="0" applyNumberFormat="1"/>
    <xf numFmtId="40" fontId="69" fillId="0" borderId="0" xfId="25861" applyNumberFormat="1" applyFont="1"/>
    <xf numFmtId="39" fontId="69" fillId="0" borderId="0" xfId="25861" applyNumberFormat="1" applyFont="1"/>
    <xf numFmtId="165" fontId="83" fillId="0" borderId="0" xfId="840" applyNumberFormat="1" applyFont="1"/>
    <xf numFmtId="0" fontId="83" fillId="0" borderId="0" xfId="840" applyFont="1" applyAlignment="1">
      <alignment horizontal="left"/>
    </xf>
    <xf numFmtId="164" fontId="161" fillId="0" borderId="0" xfId="0" applyFont="1"/>
    <xf numFmtId="0" fontId="70" fillId="0" borderId="0" xfId="17029"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8" applyFont="1"/>
    <xf numFmtId="0" fontId="42" fillId="0" borderId="0" xfId="5508" applyFont="1"/>
    <xf numFmtId="172" fontId="49" fillId="0" borderId="45" xfId="1940" applyNumberFormat="1" applyFont="1" applyBorder="1" applyAlignment="1" applyProtection="1"/>
    <xf numFmtId="190" fontId="54" fillId="0" borderId="0" xfId="8" quotePrefix="1" applyNumberFormat="1" applyFont="1" applyAlignment="1">
      <alignment horizontal="right"/>
    </xf>
    <xf numFmtId="166" fontId="54" fillId="0" borderId="0" xfId="8" quotePrefix="1" applyNumberFormat="1" applyFont="1" applyAlignment="1">
      <alignment horizontal="right"/>
    </xf>
    <xf numFmtId="166" fontId="54" fillId="0" borderId="0" xfId="8" applyNumberFormat="1" applyFont="1" applyAlignment="1">
      <alignment horizontal="right" vertical="top"/>
    </xf>
    <xf numFmtId="0" fontId="159" fillId="0" borderId="0" xfId="8" applyFont="1"/>
    <xf numFmtId="165" fontId="54" fillId="0" borderId="0" xfId="8" quotePrefix="1" applyNumberFormat="1" applyFont="1" applyAlignment="1">
      <alignment horizontal="right"/>
    </xf>
    <xf numFmtId="0" fontId="54" fillId="0" borderId="0" xfId="8" quotePrefix="1" applyFont="1"/>
    <xf numFmtId="0" fontId="137" fillId="0" borderId="0" xfId="8" applyFont="1" applyAlignment="1">
      <alignment horizontal="left"/>
    </xf>
    <xf numFmtId="0" fontId="146" fillId="0" borderId="0" xfId="861" applyNumberFormat="1" applyBorder="1" applyAlignment="1" applyProtection="1"/>
    <xf numFmtId="0" fontId="49" fillId="0" borderId="0" xfId="1776" applyFont="1" applyAlignment="1">
      <alignment horizontal="center"/>
    </xf>
    <xf numFmtId="0" fontId="42" fillId="0" borderId="45" xfId="2" applyBorder="1" applyAlignment="1">
      <alignment horizontal="center"/>
    </xf>
    <xf numFmtId="37" fontId="49" fillId="0" borderId="45" xfId="2" quotePrefix="1" applyNumberFormat="1" applyFont="1" applyBorder="1" applyAlignment="1">
      <alignment horizontal="center"/>
    </xf>
    <xf numFmtId="41" fontId="47" fillId="0" borderId="0" xfId="0" applyNumberFormat="1" applyFont="1"/>
    <xf numFmtId="167" fontId="42" fillId="0" borderId="0" xfId="2" quotePrefix="1" applyNumberFormat="1" applyAlignment="1">
      <alignment horizontal="center"/>
    </xf>
    <xf numFmtId="192" fontId="42" fillId="0" borderId="0" xfId="2" quotePrefix="1" applyNumberFormat="1" applyAlignment="1">
      <alignment horizontal="center"/>
    </xf>
    <xf numFmtId="169" fontId="54" fillId="0" borderId="0" xfId="8" quotePrefix="1" applyNumberFormat="1" applyFont="1" applyAlignment="1">
      <alignment horizontal="right"/>
    </xf>
    <xf numFmtId="177" fontId="65" fillId="0" borderId="0" xfId="740" applyNumberFormat="1" applyFont="1" applyAlignment="1">
      <alignment horizontal="right"/>
    </xf>
    <xf numFmtId="179" fontId="65" fillId="0" borderId="0" xfId="740" applyNumberFormat="1" applyFont="1" applyAlignment="1">
      <alignment horizontal="center"/>
    </xf>
    <xf numFmtId="177" fontId="65" fillId="0" borderId="0" xfId="1767" applyNumberFormat="1" applyFont="1" applyAlignment="1">
      <alignment horizontal="left"/>
    </xf>
    <xf numFmtId="177" fontId="65" fillId="0" borderId="0" xfId="740" applyNumberFormat="1" applyFont="1" applyAlignment="1">
      <alignment horizontal="center"/>
    </xf>
    <xf numFmtId="177" fontId="42" fillId="0" borderId="0" xfId="1767" applyNumberFormat="1" applyFont="1"/>
    <xf numFmtId="164" fontId="42" fillId="0" borderId="0" xfId="7" applyNumberFormat="1" applyFont="1" applyFill="1" applyAlignment="1">
      <alignment horizontal="right"/>
    </xf>
    <xf numFmtId="41" fontId="49" fillId="0" borderId="61" xfId="840" applyNumberFormat="1" applyFont="1" applyBorder="1"/>
    <xf numFmtId="39" fontId="69" fillId="0" borderId="0" xfId="19" applyNumberFormat="1" applyFont="1"/>
    <xf numFmtId="189" fontId="108" fillId="0" borderId="0" xfId="11" applyNumberFormat="1" applyFont="1" applyFill="1" applyAlignment="1">
      <alignment horizontal="right"/>
    </xf>
    <xf numFmtId="189" fontId="156" fillId="0" borderId="0" xfId="11" applyNumberFormat="1" applyFont="1" applyFill="1" applyAlignment="1">
      <alignment horizontal="right"/>
    </xf>
    <xf numFmtId="189" fontId="42" fillId="0" borderId="0" xfId="11" applyNumberFormat="1" applyFont="1" applyFill="1" applyAlignment="1">
      <alignment horizontal="center"/>
    </xf>
    <xf numFmtId="189" fontId="42" fillId="0" borderId="0" xfId="11" applyNumberFormat="1" applyFont="1" applyFill="1" applyAlignment="1"/>
    <xf numFmtId="41" fontId="69" fillId="0" borderId="0" xfId="840" applyNumberFormat="1" applyFont="1"/>
    <xf numFmtId="41" fontId="49" fillId="0" borderId="61" xfId="840" quotePrefix="1" applyNumberFormat="1" applyFont="1" applyBorder="1"/>
    <xf numFmtId="189" fontId="42" fillId="0" borderId="0" xfId="11" applyNumberFormat="1" applyFont="1" applyFill="1" applyBorder="1" applyAlignment="1"/>
    <xf numFmtId="0" fontId="65" fillId="0" borderId="0" xfId="840" quotePrefix="1" applyFont="1" applyAlignment="1">
      <alignment horizontal="left"/>
    </xf>
    <xf numFmtId="189" fontId="47" fillId="0" borderId="0" xfId="11" applyNumberFormat="1" applyFont="1" applyFill="1" applyAlignment="1"/>
    <xf numFmtId="40" fontId="69" fillId="0" borderId="0" xfId="19" applyNumberFormat="1" applyFont="1"/>
    <xf numFmtId="189" fontId="69" fillId="0" borderId="0" xfId="11" applyNumberFormat="1" applyFont="1" applyFill="1" applyAlignment="1"/>
    <xf numFmtId="174" fontId="42" fillId="0" borderId="0" xfId="5517" applyNumberFormat="1" applyFont="1"/>
    <xf numFmtId="172" fontId="42" fillId="0" borderId="0" xfId="2" applyNumberFormat="1"/>
    <xf numFmtId="170" fontId="49" fillId="0" borderId="45" xfId="5517" applyNumberFormat="1" applyFont="1" applyBorder="1"/>
    <xf numFmtId="170" fontId="49" fillId="0" borderId="0" xfId="1046" applyNumberFormat="1" applyFont="1" applyFill="1" applyBorder="1"/>
    <xf numFmtId="170" fontId="159" fillId="0" borderId="0" xfId="2" applyNumberFormat="1" applyFont="1"/>
    <xf numFmtId="172" fontId="49" fillId="0" borderId="45" xfId="2" applyNumberFormat="1" applyFont="1" applyBorder="1"/>
    <xf numFmtId="39" fontId="42" fillId="0" borderId="64" xfId="840" applyNumberFormat="1" applyFont="1" applyBorder="1"/>
    <xf numFmtId="41" fontId="42" fillId="0" borderId="0" xfId="840" quotePrefix="1" applyNumberFormat="1" applyFont="1"/>
    <xf numFmtId="41" fontId="42" fillId="0" borderId="65" xfId="840" quotePrefix="1" applyNumberFormat="1" applyFont="1" applyBorder="1" applyAlignment="1">
      <alignment horizontal="center"/>
    </xf>
    <xf numFmtId="170" fontId="42" fillId="0" borderId="64" xfId="2" applyNumberFormat="1" applyBorder="1"/>
    <xf numFmtId="170" fontId="49" fillId="0" borderId="66" xfId="2" applyNumberFormat="1" applyFont="1" applyBorder="1"/>
    <xf numFmtId="170" fontId="49" fillId="0" borderId="64" xfId="2" applyNumberFormat="1" applyFont="1" applyBorder="1"/>
    <xf numFmtId="192" fontId="49" fillId="0" borderId="0" xfId="2" quotePrefix="1" applyNumberFormat="1" applyFont="1" applyAlignment="1">
      <alignment horizontal="center"/>
    </xf>
    <xf numFmtId="196" fontId="42" fillId="0" borderId="0" xfId="739" applyNumberFormat="1" applyProtection="1">
      <protection locked="0"/>
    </xf>
    <xf numFmtId="196" fontId="42" fillId="0" borderId="0" xfId="739" applyNumberFormat="1"/>
    <xf numFmtId="196" fontId="95" fillId="0" borderId="0" xfId="739" applyNumberFormat="1" applyFont="1"/>
    <xf numFmtId="39" fontId="42" fillId="0" borderId="64" xfId="1776" applyNumberFormat="1" applyBorder="1"/>
    <xf numFmtId="43" fontId="49" fillId="0" borderId="63" xfId="1776" applyNumberFormat="1" applyFont="1" applyBorder="1"/>
    <xf numFmtId="43" fontId="42" fillId="0" borderId="64" xfId="1776" applyNumberFormat="1" applyBorder="1"/>
    <xf numFmtId="43" fontId="49" fillId="0" borderId="64" xfId="1776" applyNumberFormat="1" applyFont="1" applyBorder="1"/>
    <xf numFmtId="43" fontId="49" fillId="0" borderId="61" xfId="1776" applyNumberFormat="1" applyFont="1" applyBorder="1"/>
    <xf numFmtId="0" fontId="49" fillId="0" borderId="64" xfId="17" applyNumberFormat="1" applyFont="1" applyBorder="1"/>
    <xf numFmtId="174" fontId="49" fillId="0" borderId="54" xfId="17" applyNumberFormat="1" applyFont="1" applyBorder="1"/>
    <xf numFmtId="180" fontId="47" fillId="0" borderId="0" xfId="1776" applyNumberFormat="1" applyFont="1"/>
    <xf numFmtId="180" fontId="70" fillId="0" borderId="0" xfId="1776" applyNumberFormat="1" applyFont="1"/>
    <xf numFmtId="180" fontId="65" fillId="0" borderId="0" xfId="1776" applyNumberFormat="1" applyFont="1"/>
    <xf numFmtId="180" fontId="70" fillId="0" borderId="0" xfId="1776" quotePrefix="1" applyNumberFormat="1" applyFont="1" applyAlignment="1">
      <alignment horizontal="left"/>
    </xf>
    <xf numFmtId="180" fontId="70" fillId="0" borderId="0" xfId="1776" applyNumberFormat="1" applyFont="1" applyAlignment="1">
      <alignment horizontal="center"/>
    </xf>
    <xf numFmtId="180" fontId="102" fillId="0" borderId="0" xfId="1776" applyNumberFormat="1" applyFont="1" applyAlignment="1">
      <alignment horizontal="center"/>
    </xf>
    <xf numFmtId="180" fontId="70" fillId="0" borderId="0" xfId="1776" quotePrefix="1" applyNumberFormat="1" applyFont="1" applyAlignment="1">
      <alignment horizontal="center"/>
    </xf>
    <xf numFmtId="180" fontId="70" fillId="0" borderId="64" xfId="1776" applyNumberFormat="1" applyFont="1" applyBorder="1" applyAlignment="1">
      <alignment horizontal="center"/>
    </xf>
    <xf numFmtId="180" fontId="70" fillId="0" borderId="64" xfId="1776" quotePrefix="1" applyNumberFormat="1" applyFont="1" applyBorder="1" applyAlignment="1">
      <alignment horizontal="fill"/>
    </xf>
    <xf numFmtId="180" fontId="102" fillId="0" borderId="0" xfId="1776" applyNumberFormat="1" applyFont="1"/>
    <xf numFmtId="179" fontId="65" fillId="0" borderId="0" xfId="1776" applyNumberFormat="1" applyFont="1" applyAlignment="1">
      <alignment horizontal="right"/>
    </xf>
    <xf numFmtId="180" fontId="65" fillId="0" borderId="0" xfId="1776" quotePrefix="1" applyNumberFormat="1" applyFont="1" applyAlignment="1">
      <alignment horizontal="left"/>
    </xf>
    <xf numFmtId="177" fontId="65" fillId="0" borderId="0" xfId="1776" applyNumberFormat="1" applyFont="1"/>
    <xf numFmtId="177" fontId="65" fillId="0" borderId="0" xfId="1776" applyNumberFormat="1" applyFont="1" applyAlignment="1">
      <alignment horizontal="right"/>
    </xf>
    <xf numFmtId="180" fontId="70" fillId="0" borderId="0" xfId="1776" applyNumberFormat="1" applyFont="1" applyAlignment="1">
      <alignment horizontal="left"/>
    </xf>
    <xf numFmtId="179" fontId="70" fillId="0" borderId="67" xfId="1776" applyNumberFormat="1" applyFont="1" applyBorder="1" applyAlignment="1">
      <alignment horizontal="right"/>
    </xf>
    <xf numFmtId="180" fontId="48" fillId="0" borderId="0" xfId="1776" applyNumberFormat="1" applyFont="1"/>
    <xf numFmtId="180" fontId="47" fillId="0" borderId="0" xfId="1776" quotePrefix="1" applyNumberFormat="1" applyFont="1" applyAlignment="1">
      <alignment horizontal="left" wrapText="1"/>
    </xf>
    <xf numFmtId="180" fontId="47" fillId="0" borderId="0" xfId="1776" applyNumberFormat="1" applyFont="1" applyAlignment="1">
      <alignment horizontal="right"/>
    </xf>
    <xf numFmtId="39" fontId="47" fillId="0" borderId="0" xfId="1776" applyNumberFormat="1" applyFont="1"/>
    <xf numFmtId="180" fontId="47" fillId="0" borderId="0" xfId="1776" quotePrefix="1" applyNumberFormat="1" applyFont="1" applyAlignment="1">
      <alignment horizontal="left"/>
    </xf>
    <xf numFmtId="39" fontId="47" fillId="0" borderId="0" xfId="1776" quotePrefix="1" applyNumberFormat="1" applyFont="1" applyAlignment="1">
      <alignment horizontal="center"/>
    </xf>
    <xf numFmtId="39" fontId="47" fillId="0" borderId="0" xfId="1776" quotePrefix="1" applyNumberFormat="1" applyFont="1" applyAlignment="1">
      <alignment horizontal="right"/>
    </xf>
    <xf numFmtId="180" fontId="48" fillId="0" borderId="0" xfId="1776" quotePrefix="1" applyNumberFormat="1" applyFont="1" applyAlignment="1">
      <alignment horizontal="left"/>
    </xf>
    <xf numFmtId="180" fontId="47" fillId="0" borderId="0" xfId="1776" applyNumberFormat="1" applyFont="1" applyAlignment="1">
      <alignment horizontal="left"/>
    </xf>
    <xf numFmtId="39" fontId="48" fillId="0" borderId="0" xfId="1776" quotePrefix="1" applyNumberFormat="1" applyFont="1" applyAlignment="1">
      <alignment horizontal="center"/>
    </xf>
    <xf numFmtId="39" fontId="48" fillId="0" borderId="0" xfId="1776" applyNumberFormat="1" applyFont="1"/>
    <xf numFmtId="40" fontId="49" fillId="0" borderId="0" xfId="840" quotePrefix="1" applyNumberFormat="1" applyFont="1" applyAlignment="1">
      <alignment horizontal="center"/>
    </xf>
    <xf numFmtId="0" fontId="49" fillId="0" borderId="0" xfId="17" applyNumberFormat="1" applyFont="1" applyAlignment="1">
      <alignment horizontal="left"/>
    </xf>
    <xf numFmtId="0" fontId="42" fillId="0" borderId="0" xfId="17" applyNumberFormat="1" applyAlignment="1" applyProtection="1">
      <alignment horizontal="left"/>
      <protection locked="0"/>
    </xf>
    <xf numFmtId="0" fontId="49" fillId="0" borderId="0" xfId="17" applyNumberFormat="1" applyFont="1" applyAlignment="1" applyProtection="1">
      <alignment horizontal="left"/>
      <protection locked="0"/>
    </xf>
    <xf numFmtId="189" fontId="161" fillId="0" borderId="0" xfId="1773" applyNumberFormat="1" applyFont="1" applyFill="1"/>
    <xf numFmtId="189" fontId="47" fillId="0" borderId="0" xfId="1773" applyNumberFormat="1" applyFont="1" applyFill="1"/>
    <xf numFmtId="170" fontId="49" fillId="0" borderId="0" xfId="1" applyNumberFormat="1" applyFont="1" applyBorder="1" applyAlignment="1"/>
    <xf numFmtId="0" fontId="70" fillId="0" borderId="0" xfId="1776" quotePrefix="1" applyFont="1" applyAlignment="1">
      <alignment horizontal="left"/>
    </xf>
    <xf numFmtId="0" fontId="70" fillId="0" borderId="0" xfId="1776" quotePrefix="1" applyFont="1" applyAlignment="1">
      <alignment horizontal="center"/>
    </xf>
    <xf numFmtId="0" fontId="49" fillId="0" borderId="0" xfId="1776" quotePrefix="1" applyFont="1" applyAlignment="1">
      <alignment horizontal="center"/>
    </xf>
    <xf numFmtId="170" fontId="42" fillId="0" borderId="0" xfId="1046" applyNumberFormat="1" applyFont="1" applyFill="1" applyProtection="1"/>
    <xf numFmtId="166" fontId="42" fillId="0" borderId="17" xfId="2" applyNumberFormat="1" applyBorder="1"/>
    <xf numFmtId="166" fontId="49" fillId="0" borderId="17" xfId="2" applyNumberFormat="1" applyFont="1" applyBorder="1"/>
    <xf numFmtId="170" fontId="49" fillId="0" borderId="16" xfId="2" applyNumberFormat="1" applyFont="1" applyBorder="1"/>
    <xf numFmtId="170" fontId="49" fillId="0" borderId="0" xfId="5" applyNumberFormat="1" applyFont="1" applyFill="1" applyBorder="1" applyProtection="1"/>
    <xf numFmtId="0" fontId="49" fillId="0" borderId="16" xfId="2" applyFont="1" applyBorder="1"/>
    <xf numFmtId="173" fontId="42" fillId="0" borderId="0" xfId="740" quotePrefix="1" applyNumberFormat="1" applyFont="1" applyAlignment="1">
      <alignment horizontal="left"/>
    </xf>
    <xf numFmtId="170" fontId="49" fillId="0" borderId="69" xfId="2" applyNumberFormat="1" applyFont="1" applyBorder="1"/>
    <xf numFmtId="174" fontId="49" fillId="0" borderId="54" xfId="2" applyNumberFormat="1" applyFont="1" applyBorder="1"/>
    <xf numFmtId="0" fontId="54" fillId="0" borderId="0" xfId="8" applyFont="1" applyAlignment="1">
      <alignment horizontal="left" vertical="top"/>
    </xf>
    <xf numFmtId="172" fontId="49" fillId="0" borderId="45" xfId="1940" applyNumberFormat="1" applyFont="1" applyBorder="1" applyAlignment="1"/>
    <xf numFmtId="172" fontId="49" fillId="0" borderId="0" xfId="1940" applyNumberFormat="1" applyFont="1" applyBorder="1" applyAlignment="1"/>
    <xf numFmtId="0" fontId="42" fillId="0" borderId="0" xfId="0" applyNumberFormat="1" applyFont="1" applyAlignment="1">
      <alignment horizontal="left"/>
    </xf>
    <xf numFmtId="0" fontId="42" fillId="0" borderId="0" xfId="17" applyNumberFormat="1" applyAlignment="1">
      <alignment horizontal="center"/>
    </xf>
    <xf numFmtId="5" fontId="42" fillId="0" borderId="0" xfId="2" applyNumberFormat="1"/>
    <xf numFmtId="43" fontId="42" fillId="0" borderId="0" xfId="17924" applyFont="1" applyFill="1" applyAlignment="1" applyProtection="1">
      <alignment horizontal="right"/>
    </xf>
    <xf numFmtId="170" fontId="63" fillId="0" borderId="0" xfId="2" applyNumberFormat="1" applyFont="1" applyAlignment="1">
      <alignment horizontal="center"/>
    </xf>
    <xf numFmtId="4" fontId="49" fillId="0" borderId="0" xfId="1028" quotePrefix="1" applyNumberFormat="1" applyFont="1" applyAlignment="1">
      <alignment horizontal="left"/>
    </xf>
    <xf numFmtId="180" fontId="49" fillId="0" borderId="0" xfId="1776" quotePrefix="1" applyNumberFormat="1" applyFont="1" applyAlignment="1">
      <alignment horizontal="left"/>
    </xf>
    <xf numFmtId="42" fontId="42" fillId="0" borderId="0" xfId="0" quotePrefix="1" applyNumberFormat="1" applyFont="1"/>
    <xf numFmtId="164" fontId="152" fillId="0" borderId="0" xfId="0" applyFont="1"/>
    <xf numFmtId="190" fontId="54" fillId="0" borderId="0" xfId="8" applyNumberFormat="1" applyFont="1" applyAlignment="1">
      <alignment horizontal="right" vertical="top"/>
    </xf>
    <xf numFmtId="165" fontId="49" fillId="0" borderId="0" xfId="2" applyNumberFormat="1" applyFont="1" applyAlignment="1">
      <alignment horizontal="right"/>
    </xf>
    <xf numFmtId="177" fontId="49" fillId="0" borderId="0" xfId="740" quotePrefix="1" applyNumberFormat="1" applyFont="1" applyAlignment="1">
      <alignment horizontal="center"/>
    </xf>
    <xf numFmtId="0" fontId="80" fillId="0" borderId="0" xfId="836" applyFont="1"/>
    <xf numFmtId="184" fontId="65" fillId="0" borderId="0" xfId="836" applyNumberFormat="1" applyFont="1"/>
    <xf numFmtId="179" fontId="70" fillId="0" borderId="15" xfId="836" applyNumberFormat="1" applyFont="1" applyBorder="1" applyAlignment="1">
      <alignment horizontal="right"/>
    </xf>
    <xf numFmtId="184" fontId="65" fillId="0" borderId="20" xfId="836" applyNumberFormat="1" applyFont="1" applyBorder="1"/>
    <xf numFmtId="165" fontId="80" fillId="0" borderId="0" xfId="836" applyNumberFormat="1" applyFont="1"/>
    <xf numFmtId="165" fontId="67" fillId="0" borderId="45" xfId="2" applyNumberFormat="1" applyFont="1" applyBorder="1" applyAlignment="1" applyProtection="1">
      <alignment horizontal="centerContinuous"/>
      <protection locked="0"/>
    </xf>
    <xf numFmtId="43" fontId="49" fillId="0" borderId="10" xfId="1776" applyNumberFormat="1" applyFont="1" applyBorder="1"/>
    <xf numFmtId="166" fontId="42" fillId="0" borderId="0" xfId="0" applyNumberFormat="1" applyFont="1" applyAlignment="1">
      <alignment horizontal="left"/>
    </xf>
    <xf numFmtId="170" fontId="69" fillId="0" borderId="0" xfId="2" applyNumberFormat="1" applyFont="1"/>
    <xf numFmtId="164" fontId="69" fillId="0" borderId="0" xfId="2" applyNumberFormat="1" applyFont="1"/>
    <xf numFmtId="165" fontId="70" fillId="0" borderId="0" xfId="2" applyNumberFormat="1" applyFont="1" applyAlignment="1">
      <alignment horizontal="right"/>
    </xf>
    <xf numFmtId="1" fontId="49" fillId="0" borderId="0" xfId="2" quotePrefix="1" applyNumberFormat="1" applyFont="1" applyAlignment="1">
      <alignment horizontal="center"/>
    </xf>
    <xf numFmtId="165" fontId="69" fillId="0" borderId="14" xfId="2" applyNumberFormat="1" applyFont="1" applyBorder="1"/>
    <xf numFmtId="169" fontId="49" fillId="0" borderId="17" xfId="2" applyNumberFormat="1" applyFont="1" applyBorder="1"/>
    <xf numFmtId="169" fontId="78" fillId="0" borderId="14" xfId="2" applyNumberFormat="1" applyFont="1" applyBorder="1"/>
    <xf numFmtId="169" fontId="48" fillId="0" borderId="0" xfId="2" applyNumberFormat="1" applyFont="1"/>
    <xf numFmtId="170" fontId="69" fillId="0" borderId="14" xfId="2" applyNumberFormat="1" applyFont="1" applyBorder="1"/>
    <xf numFmtId="170" fontId="78" fillId="0" borderId="14" xfId="2" applyNumberFormat="1" applyFont="1" applyBorder="1"/>
    <xf numFmtId="170" fontId="49" fillId="0" borderId="45" xfId="1046" applyNumberFormat="1" applyFont="1" applyFill="1" applyBorder="1" applyProtection="1"/>
    <xf numFmtId="170" fontId="42" fillId="0" borderId="14" xfId="0" quotePrefix="1" applyNumberFormat="1" applyFont="1" applyBorder="1" applyAlignment="1">
      <alignment horizontal="right"/>
    </xf>
    <xf numFmtId="170" fontId="51" fillId="0" borderId="0" xfId="2" applyNumberFormat="1" applyFont="1" applyAlignment="1">
      <alignment horizontal="right"/>
    </xf>
    <xf numFmtId="170" fontId="69" fillId="0" borderId="14" xfId="2" applyNumberFormat="1" applyFont="1" applyBorder="1" applyAlignment="1">
      <alignment horizontal="center"/>
    </xf>
    <xf numFmtId="170" fontId="48" fillId="0" borderId="0" xfId="2" applyNumberFormat="1" applyFont="1"/>
    <xf numFmtId="169" fontId="49" fillId="0" borderId="16" xfId="2" applyNumberFormat="1" applyFont="1" applyBorder="1"/>
    <xf numFmtId="165" fontId="52" fillId="0" borderId="0" xfId="2" applyNumberFormat="1" applyFont="1"/>
    <xf numFmtId="166" fontId="51" fillId="0" borderId="0" xfId="2" quotePrefix="1" applyNumberFormat="1" applyFont="1" applyAlignment="1">
      <alignment horizontal="left"/>
    </xf>
    <xf numFmtId="168" fontId="49" fillId="0" borderId="0" xfId="2" applyNumberFormat="1" applyFont="1"/>
    <xf numFmtId="192" fontId="42" fillId="0" borderId="0" xfId="2" applyNumberFormat="1"/>
    <xf numFmtId="170" fontId="42" fillId="0" borderId="0" xfId="1" applyNumberFormat="1" applyFont="1" applyFill="1" applyAlignment="1" applyProtection="1">
      <alignment horizontal="right"/>
    </xf>
    <xf numFmtId="170" fontId="42" fillId="0" borderId="14" xfId="1" applyNumberFormat="1" applyFont="1" applyFill="1" applyBorder="1" applyAlignment="1" applyProtection="1">
      <alignment horizontal="right"/>
    </xf>
    <xf numFmtId="170" fontId="49" fillId="0" borderId="45" xfId="6" applyNumberFormat="1" applyFont="1" applyFill="1" applyBorder="1" applyAlignment="1" applyProtection="1"/>
    <xf numFmtId="170" fontId="49" fillId="0" borderId="0" xfId="6" applyNumberFormat="1" applyFont="1" applyFill="1" applyAlignment="1" applyProtection="1"/>
    <xf numFmtId="170" fontId="49" fillId="0" borderId="17" xfId="6" applyNumberFormat="1" applyFont="1" applyFill="1" applyBorder="1" applyAlignment="1" applyProtection="1"/>
    <xf numFmtId="166" fontId="47" fillId="0" borderId="0" xfId="4" applyNumberFormat="1" applyFont="1"/>
    <xf numFmtId="43" fontId="47" fillId="0" borderId="0" xfId="5" applyFont="1" applyFill="1" applyBorder="1" applyAlignment="1" applyProtection="1">
      <alignment horizontal="right"/>
    </xf>
    <xf numFmtId="0" fontId="70" fillId="0" borderId="0" xfId="4" quotePrefix="1" applyFont="1" applyAlignment="1">
      <alignment horizontal="left"/>
    </xf>
    <xf numFmtId="0" fontId="70" fillId="0" borderId="0" xfId="4" applyFont="1" applyAlignment="1">
      <alignment horizontal="right"/>
    </xf>
    <xf numFmtId="0" fontId="49" fillId="0" borderId="0" xfId="4" applyFont="1" applyAlignment="1">
      <alignment horizontal="center"/>
    </xf>
    <xf numFmtId="166" fontId="49" fillId="0" borderId="0" xfId="4" applyNumberFormat="1" applyFont="1" applyAlignment="1">
      <alignment horizontal="center"/>
    </xf>
    <xf numFmtId="165" fontId="49" fillId="0" borderId="0" xfId="4" applyNumberFormat="1" applyFont="1"/>
    <xf numFmtId="165" fontId="49" fillId="0" borderId="0" xfId="4" applyNumberFormat="1" applyFont="1" applyAlignment="1">
      <alignment horizontal="center"/>
    </xf>
    <xf numFmtId="0" fontId="49" fillId="0" borderId="0" xfId="4" applyFont="1" applyAlignment="1">
      <alignment horizontal="left"/>
    </xf>
    <xf numFmtId="174" fontId="49" fillId="0" borderId="0" xfId="4" quotePrefix="1" applyNumberFormat="1" applyFont="1" applyAlignment="1">
      <alignment horizontal="right"/>
    </xf>
    <xf numFmtId="174" fontId="49" fillId="0" borderId="14" xfId="4" applyNumberFormat="1" applyFont="1" applyBorder="1"/>
    <xf numFmtId="164" fontId="49" fillId="0" borderId="0" xfId="4" applyNumberFormat="1" applyFont="1"/>
    <xf numFmtId="170" fontId="49" fillId="0" borderId="0" xfId="5517" applyNumberFormat="1" applyFont="1"/>
    <xf numFmtId="170" fontId="49" fillId="0" borderId="14" xfId="4" applyNumberFormat="1" applyFont="1" applyBorder="1"/>
    <xf numFmtId="0" fontId="48" fillId="0" borderId="0" xfId="4" applyFont="1"/>
    <xf numFmtId="0" fontId="42" fillId="0" borderId="0" xfId="4" applyFont="1"/>
    <xf numFmtId="170" fontId="49" fillId="0" borderId="0" xfId="5517" applyNumberFormat="1" applyFont="1" applyAlignment="1">
      <alignment horizontal="right"/>
    </xf>
    <xf numFmtId="170" fontId="49" fillId="0" borderId="0" xfId="4" applyNumberFormat="1" applyFont="1" applyAlignment="1">
      <alignment horizontal="right"/>
    </xf>
    <xf numFmtId="0" fontId="49" fillId="0" borderId="0" xfId="4" quotePrefix="1" applyFont="1" applyAlignment="1">
      <alignment horizontal="left"/>
    </xf>
    <xf numFmtId="0" fontId="42" fillId="0" borderId="0" xfId="4" quotePrefix="1" applyFont="1" applyAlignment="1">
      <alignment horizontal="left"/>
    </xf>
    <xf numFmtId="0" fontId="42" fillId="0" borderId="0" xfId="4" applyFont="1" applyAlignment="1">
      <alignment horizontal="left"/>
    </xf>
    <xf numFmtId="170" fontId="42" fillId="0" borderId="0" xfId="5517" applyNumberFormat="1" applyFont="1" applyAlignment="1">
      <alignment horizontal="right"/>
    </xf>
    <xf numFmtId="174" fontId="49" fillId="0" borderId="15" xfId="4" applyNumberFormat="1" applyFont="1" applyBorder="1"/>
    <xf numFmtId="169" fontId="47" fillId="0" borderId="0" xfId="4" applyNumberFormat="1" applyFont="1"/>
    <xf numFmtId="169" fontId="47" fillId="0" borderId="0" xfId="4" quotePrefix="1" applyNumberFormat="1" applyFont="1" applyAlignment="1">
      <alignment horizontal="right"/>
    </xf>
    <xf numFmtId="0" fontId="47" fillId="0" borderId="0" xfId="4" applyFont="1" applyAlignment="1">
      <alignment horizontal="center"/>
    </xf>
    <xf numFmtId="164" fontId="47" fillId="0" borderId="0" xfId="4" applyNumberFormat="1" applyFont="1"/>
    <xf numFmtId="39" fontId="47" fillId="0" borderId="0" xfId="4" applyNumberFormat="1" applyFont="1"/>
    <xf numFmtId="174" fontId="47" fillId="0" borderId="0" xfId="4" applyNumberFormat="1" applyFont="1"/>
    <xf numFmtId="43" fontId="47" fillId="0" borderId="0" xfId="5" applyFont="1" applyFill="1" applyProtection="1"/>
    <xf numFmtId="0" fontId="47" fillId="0" borderId="0" xfId="4" quotePrefix="1" applyFont="1" applyAlignment="1">
      <alignment horizontal="left"/>
    </xf>
    <xf numFmtId="170" fontId="47" fillId="0" borderId="0" xfId="4" quotePrefix="1" applyNumberFormat="1" applyFont="1" applyAlignment="1">
      <alignment horizontal="left"/>
    </xf>
    <xf numFmtId="43" fontId="47" fillId="0" borderId="0" xfId="4" applyNumberFormat="1" applyFont="1"/>
    <xf numFmtId="49" fontId="87" fillId="0" borderId="0" xfId="4" applyNumberFormat="1" applyFont="1" applyAlignment="1">
      <alignment horizontal="left"/>
    </xf>
    <xf numFmtId="0" fontId="87" fillId="0" borderId="0" xfId="4" applyFont="1" applyAlignment="1">
      <alignment horizontal="left"/>
    </xf>
    <xf numFmtId="165" fontId="42" fillId="0" borderId="0" xfId="5458" applyNumberFormat="1"/>
    <xf numFmtId="3" fontId="42" fillId="0" borderId="0" xfId="2" applyNumberFormat="1" applyAlignment="1">
      <alignment vertical="center"/>
    </xf>
    <xf numFmtId="3" fontId="42" fillId="0" borderId="0" xfId="2" applyNumberFormat="1" applyAlignment="1">
      <alignment horizontal="left" vertical="center"/>
    </xf>
    <xf numFmtId="170" fontId="62" fillId="0" borderId="45" xfId="2" applyNumberFormat="1" applyFont="1" applyBorder="1" applyAlignment="1">
      <alignment horizontal="right"/>
    </xf>
    <xf numFmtId="170" fontId="63" fillId="0" borderId="45" xfId="2" applyNumberFormat="1" applyFont="1" applyBorder="1" applyAlignment="1">
      <alignment horizontal="center"/>
    </xf>
    <xf numFmtId="0" fontId="42" fillId="0" borderId="0" xfId="0" quotePrefix="1" applyNumberFormat="1" applyFont="1" applyAlignment="1">
      <alignment horizontal="center"/>
    </xf>
    <xf numFmtId="0" fontId="42" fillId="0" borderId="0" xfId="1767" applyFont="1"/>
    <xf numFmtId="0" fontId="19" fillId="0" borderId="0" xfId="841" applyFont="1"/>
    <xf numFmtId="4" fontId="48" fillId="0" borderId="0" xfId="1028" applyNumberFormat="1" applyFont="1"/>
    <xf numFmtId="1" fontId="48" fillId="0" borderId="0" xfId="1028" applyNumberFormat="1" applyFont="1"/>
    <xf numFmtId="0" fontId="48" fillId="0" borderId="0" xfId="1028" applyFont="1" applyAlignment="1">
      <alignment horizontal="left"/>
    </xf>
    <xf numFmtId="4" fontId="70" fillId="0" borderId="0" xfId="1028" applyNumberFormat="1" applyFont="1" applyAlignment="1">
      <alignment horizontal="left" vertical="center"/>
    </xf>
    <xf numFmtId="0" fontId="48" fillId="0" borderId="0" xfId="1028" applyFont="1" applyAlignment="1">
      <alignment horizontal="right"/>
    </xf>
    <xf numFmtId="4" fontId="48" fillId="0" borderId="0" xfId="1028" applyNumberFormat="1" applyFont="1" applyAlignment="1">
      <alignment horizontal="center"/>
    </xf>
    <xf numFmtId="1" fontId="49" fillId="0" borderId="29" xfId="1028" applyNumberFormat="1" applyFont="1" applyBorder="1"/>
    <xf numFmtId="4" fontId="49" fillId="0" borderId="29" xfId="1028" applyNumberFormat="1" applyFont="1" applyBorder="1"/>
    <xf numFmtId="4" fontId="49" fillId="0" borderId="29" xfId="1028" applyNumberFormat="1" applyFont="1" applyBorder="1" applyAlignment="1">
      <alignment horizontal="center"/>
    </xf>
    <xf numFmtId="0" fontId="115" fillId="0" borderId="0" xfId="841" applyFont="1"/>
    <xf numFmtId="0" fontId="0" fillId="0" borderId="0" xfId="0" applyNumberFormat="1"/>
    <xf numFmtId="4" fontId="49" fillId="0" borderId="0" xfId="1028" applyNumberFormat="1" applyFont="1"/>
    <xf numFmtId="4" fontId="49" fillId="35" borderId="62" xfId="1028" applyNumberFormat="1" applyFont="1" applyFill="1" applyBorder="1" applyAlignment="1">
      <alignment horizontal="center"/>
    </xf>
    <xf numFmtId="4" fontId="49" fillId="0" borderId="0" xfId="1028" applyNumberFormat="1" applyFont="1" applyAlignment="1">
      <alignment horizontal="center"/>
    </xf>
    <xf numFmtId="0" fontId="97" fillId="0" borderId="0" xfId="0" applyNumberFormat="1" applyFont="1"/>
    <xf numFmtId="0" fontId="42" fillId="0" borderId="0" xfId="1028" quotePrefix="1" applyAlignment="1">
      <alignment horizontal="center"/>
    </xf>
    <xf numFmtId="4" fontId="42" fillId="0" borderId="0" xfId="1028" applyNumberFormat="1" applyAlignment="1">
      <alignment horizontal="left"/>
    </xf>
    <xf numFmtId="0" fontId="101" fillId="0" borderId="0" xfId="0" applyNumberFormat="1" applyFont="1"/>
    <xf numFmtId="1" fontId="42" fillId="0" borderId="0" xfId="1028" applyNumberFormat="1" applyAlignment="1">
      <alignment horizontal="center"/>
    </xf>
    <xf numFmtId="4" fontId="49" fillId="35" borderId="62" xfId="1028" quotePrefix="1" applyNumberFormat="1" applyFont="1" applyFill="1" applyBorder="1" applyAlignment="1">
      <alignment horizontal="center"/>
    </xf>
    <xf numFmtId="4" fontId="49" fillId="0" borderId="0" xfId="1028" quotePrefix="1" applyNumberFormat="1" applyFont="1" applyAlignment="1">
      <alignment horizontal="center"/>
    </xf>
    <xf numFmtId="4" fontId="42" fillId="0" borderId="0" xfId="1028" quotePrefix="1" applyNumberFormat="1" applyAlignment="1">
      <alignment horizontal="left"/>
    </xf>
    <xf numFmtId="4" fontId="42" fillId="0" borderId="0" xfId="1028" applyNumberFormat="1"/>
    <xf numFmtId="4" fontId="42" fillId="0" borderId="0" xfId="1028" applyNumberFormat="1" applyAlignment="1">
      <alignment horizontal="center"/>
    </xf>
    <xf numFmtId="1" fontId="42" fillId="0" borderId="0" xfId="1028" quotePrefix="1" applyNumberFormat="1"/>
    <xf numFmtId="4" fontId="49" fillId="0" borderId="0" xfId="0" applyNumberFormat="1" applyFont="1"/>
    <xf numFmtId="0" fontId="97" fillId="0" borderId="0" xfId="1028" quotePrefix="1" applyFont="1"/>
    <xf numFmtId="1" fontId="42" fillId="0" borderId="0" xfId="1028"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8" quotePrefix="1" applyNumberFormat="1" applyAlignment="1">
      <alignment horizontal="center"/>
    </xf>
    <xf numFmtId="4" fontId="42" fillId="0" borderId="0" xfId="1028" quotePrefix="1" applyNumberFormat="1" applyAlignment="1">
      <alignment horizontal="right"/>
    </xf>
    <xf numFmtId="4" fontId="42" fillId="0" borderId="0" xfId="1028" quotePrefix="1" applyNumberFormat="1" applyAlignment="1">
      <alignment horizontal="center"/>
    </xf>
    <xf numFmtId="37" fontId="49" fillId="0" borderId="0" xfId="1028" quotePrefix="1" applyNumberFormat="1" applyFont="1" applyAlignment="1">
      <alignment horizontal="center"/>
    </xf>
    <xf numFmtId="43" fontId="49" fillId="0" borderId="0" xfId="17924" applyFont="1" applyFill="1" applyAlignment="1" applyProtection="1">
      <alignment horizontal="right"/>
    </xf>
    <xf numFmtId="4" fontId="42" fillId="33" borderId="0" xfId="1028" applyNumberFormat="1" applyFill="1" applyAlignment="1">
      <alignment horizontal="centerContinuous"/>
    </xf>
    <xf numFmtId="4" fontId="42" fillId="33" borderId="0" xfId="1028" applyNumberFormat="1" applyFill="1" applyAlignment="1">
      <alignment horizontal="center"/>
    </xf>
    <xf numFmtId="4" fontId="42" fillId="0" borderId="0" xfId="1028" applyNumberFormat="1" applyAlignment="1">
      <alignment horizontal="right"/>
    </xf>
    <xf numFmtId="1" fontId="49" fillId="0" borderId="0" xfId="1028" quotePrefix="1" applyNumberFormat="1" applyFont="1"/>
    <xf numFmtId="0" fontId="97" fillId="0" borderId="0" xfId="1028" applyFont="1"/>
    <xf numFmtId="0" fontId="49" fillId="0" borderId="0" xfId="1028" applyFont="1" applyAlignment="1">
      <alignment horizontal="center"/>
    </xf>
    <xf numFmtId="4" fontId="49" fillId="35" borderId="36" xfId="1028" applyNumberFormat="1" applyFont="1" applyFill="1" applyBorder="1" applyAlignment="1">
      <alignment horizontal="left"/>
    </xf>
    <xf numFmtId="164" fontId="42" fillId="0" borderId="0" xfId="1028" applyNumberFormat="1"/>
    <xf numFmtId="4" fontId="49" fillId="0" borderId="0" xfId="0" applyNumberFormat="1" applyFont="1" applyAlignment="1">
      <alignment horizontal="left"/>
    </xf>
    <xf numFmtId="0" fontId="115" fillId="0" borderId="0" xfId="1028" quotePrefix="1" applyFont="1"/>
    <xf numFmtId="164" fontId="42" fillId="0" borderId="0" xfId="1028" quotePrefix="1" applyNumberFormat="1"/>
    <xf numFmtId="7" fontId="49" fillId="0" borderId="0" xfId="0" applyNumberFormat="1" applyFont="1" applyAlignment="1">
      <alignment horizontal="right"/>
    </xf>
    <xf numFmtId="37" fontId="49" fillId="0" borderId="0" xfId="1028"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1" fillId="0" borderId="0" xfId="0" applyNumberFormat="1" applyFont="1" applyAlignment="1">
      <alignment horizontal="right" vertical="top"/>
    </xf>
    <xf numFmtId="37" fontId="49" fillId="0" borderId="0" xfId="841" applyNumberFormat="1" applyFont="1" applyAlignment="1">
      <alignment horizontal="right"/>
    </xf>
    <xf numFmtId="37" fontId="49" fillId="0" borderId="0" xfId="0" applyNumberFormat="1" applyFont="1" applyAlignment="1">
      <alignment horizontal="right"/>
    </xf>
    <xf numFmtId="7" fontId="49" fillId="0" borderId="0" xfId="1028" applyNumberFormat="1" applyFont="1" applyAlignment="1">
      <alignment horizontal="right"/>
    </xf>
    <xf numFmtId="37" fontId="49" fillId="0" borderId="0" xfId="1028" quotePrefix="1" applyNumberFormat="1" applyFont="1" applyAlignment="1">
      <alignment horizontal="right"/>
    </xf>
    <xf numFmtId="0" fontId="135" fillId="0" borderId="0" xfId="841" applyFont="1"/>
    <xf numFmtId="4" fontId="47" fillId="0" borderId="0" xfId="1767" applyNumberFormat="1" applyFont="1" applyAlignment="1">
      <alignment horizontal="right"/>
    </xf>
    <xf numFmtId="42" fontId="42" fillId="0" borderId="0" xfId="739" applyNumberFormat="1"/>
    <xf numFmtId="42" fontId="49" fillId="0" borderId="15" xfId="840" applyNumberFormat="1" applyFont="1" applyBorder="1"/>
    <xf numFmtId="165" fontId="42" fillId="0" borderId="0" xfId="740" applyNumberFormat="1" applyFont="1" applyProtection="1">
      <protection locked="0"/>
    </xf>
    <xf numFmtId="177" fontId="42" fillId="0" borderId="0" xfId="740" applyNumberFormat="1" applyFont="1" applyAlignment="1">
      <alignment horizontal="fill"/>
    </xf>
    <xf numFmtId="178" fontId="49" fillId="0" borderId="10" xfId="740" quotePrefix="1" applyNumberFormat="1" applyFont="1" applyBorder="1" applyAlignment="1">
      <alignment horizontal="center"/>
    </xf>
    <xf numFmtId="178" fontId="49" fillId="0" borderId="0" xfId="740" quotePrefix="1" applyNumberFormat="1" applyFont="1" applyAlignment="1">
      <alignment horizontal="center"/>
    </xf>
    <xf numFmtId="173" fontId="42" fillId="0" borderId="0" xfId="740" applyNumberFormat="1" applyFont="1"/>
    <xf numFmtId="181" fontId="97" fillId="0" borderId="0" xfId="740" applyNumberFormat="1" applyFont="1"/>
    <xf numFmtId="177" fontId="49" fillId="0" borderId="0" xfId="740" applyNumberFormat="1" applyFont="1" applyAlignment="1">
      <alignment horizontal="left"/>
    </xf>
    <xf numFmtId="43" fontId="42" fillId="0" borderId="0" xfId="741" applyFont="1" applyFill="1" applyAlignment="1"/>
    <xf numFmtId="180" fontId="42"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10" fillId="0" borderId="0" xfId="0" applyNumberFormat="1" applyFont="1"/>
    <xf numFmtId="41" fontId="161" fillId="0" borderId="0" xfId="0" applyNumberFormat="1" applyFont="1" applyAlignment="1">
      <alignment horizontal="center" vertical="top"/>
    </xf>
    <xf numFmtId="170" fontId="42" fillId="0" borderId="45" xfId="2" quotePrefix="1" applyNumberFormat="1" applyBorder="1" applyAlignment="1">
      <alignment horizontal="center"/>
    </xf>
    <xf numFmtId="165" fontId="42" fillId="0" borderId="0" xfId="836" applyNumberFormat="1" applyFont="1" applyProtection="1">
      <protection locked="0"/>
    </xf>
    <xf numFmtId="0" fontId="56" fillId="0" borderId="0" xfId="836" applyFont="1"/>
    <xf numFmtId="0" fontId="44" fillId="0" borderId="0" xfId="836" quotePrefix="1" applyAlignment="1">
      <alignment horizontal="left"/>
    </xf>
    <xf numFmtId="181" fontId="80" fillId="0" borderId="0" xfId="836" applyNumberFormat="1" applyFont="1"/>
    <xf numFmtId="0" fontId="113" fillId="0" borderId="0" xfId="2" applyFont="1"/>
    <xf numFmtId="165" fontId="47" fillId="0" borderId="0" xfId="0" applyNumberFormat="1" applyFont="1" applyProtection="1">
      <protection locked="0"/>
    </xf>
    <xf numFmtId="165" fontId="161" fillId="0" borderId="0" xfId="0" applyNumberFormat="1" applyFont="1" applyProtection="1">
      <protection locked="0"/>
    </xf>
    <xf numFmtId="37" fontId="49" fillId="0" borderId="0" xfId="1028"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7" applyNumberFormat="1" applyFont="1"/>
    <xf numFmtId="179" fontId="42" fillId="0" borderId="0" xfId="17" applyNumberFormat="1"/>
    <xf numFmtId="180" fontId="65" fillId="0" borderId="0" xfId="1776" applyNumberFormat="1" applyFont="1" applyAlignment="1">
      <alignment horizontal="left"/>
    </xf>
    <xf numFmtId="179" fontId="70" fillId="0" borderId="0" xfId="1776" applyNumberFormat="1" applyFont="1" applyAlignment="1">
      <alignment horizontal="right"/>
    </xf>
    <xf numFmtId="0" fontId="42" fillId="0" borderId="0" xfId="1028" quotePrefix="1" applyAlignment="1">
      <alignment horizontal="left"/>
    </xf>
    <xf numFmtId="165" fontId="43" fillId="0" borderId="0" xfId="2" applyNumberFormat="1" applyFont="1" applyAlignment="1">
      <alignment horizontal="right"/>
    </xf>
    <xf numFmtId="171" fontId="62" fillId="0" borderId="0" xfId="2" quotePrefix="1" applyNumberFormat="1" applyFont="1" applyAlignment="1">
      <alignment horizontal="center"/>
    </xf>
    <xf numFmtId="165" fontId="48" fillId="0" borderId="0" xfId="2" applyNumberFormat="1" applyFont="1" applyAlignment="1">
      <alignment horizontal="right"/>
    </xf>
    <xf numFmtId="0" fontId="42" fillId="0" borderId="17" xfId="2" applyBorder="1"/>
    <xf numFmtId="170" fontId="159" fillId="0" borderId="16" xfId="2" applyNumberFormat="1" applyFont="1" applyBorder="1"/>
    <xf numFmtId="166" fontId="62" fillId="0" borderId="0" xfId="2" quotePrefix="1" applyNumberFormat="1" applyFont="1" applyAlignment="1">
      <alignment horizontal="center"/>
    </xf>
    <xf numFmtId="174" fontId="62" fillId="0" borderId="17" xfId="2" applyNumberFormat="1" applyFont="1" applyBorder="1"/>
    <xf numFmtId="166" fontId="63" fillId="0" borderId="17" xfId="2"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2" applyNumberFormat="1" applyFont="1" applyBorder="1"/>
    <xf numFmtId="170" fontId="78" fillId="0" borderId="0" xfId="2" applyNumberFormat="1" applyFont="1"/>
    <xf numFmtId="164" fontId="42" fillId="0" borderId="45" xfId="0" applyFont="1" applyBorder="1" applyProtection="1">
      <protection locked="0"/>
    </xf>
    <xf numFmtId="170" fontId="62" fillId="0" borderId="17" xfId="2" applyNumberFormat="1" applyFont="1" applyBorder="1"/>
    <xf numFmtId="172" fontId="49" fillId="0" borderId="45" xfId="0" applyNumberFormat="1" applyFont="1" applyBorder="1" applyProtection="1">
      <protection locked="0"/>
    </xf>
    <xf numFmtId="195" fontId="67" fillId="0" borderId="0" xfId="2" applyNumberFormat="1" applyFont="1"/>
    <xf numFmtId="164" fontId="49" fillId="0" borderId="15" xfId="0" applyFont="1" applyBorder="1" applyProtection="1">
      <protection locked="0"/>
    </xf>
    <xf numFmtId="166" fontId="62" fillId="0" borderId="45" xfId="2" applyNumberFormat="1" applyFont="1" applyBorder="1" applyAlignment="1">
      <alignment horizontal="center"/>
    </xf>
    <xf numFmtId="170" fontId="62" fillId="0" borderId="45" xfId="2" applyNumberFormat="1" applyFont="1" applyBorder="1"/>
    <xf numFmtId="164" fontId="42" fillId="0" borderId="45" xfId="2" applyNumberFormat="1" applyBorder="1"/>
    <xf numFmtId="0" fontId="65" fillId="0" borderId="0" xfId="836" quotePrefix="1" applyFont="1" applyAlignment="1">
      <alignment horizontal="left"/>
    </xf>
    <xf numFmtId="165" fontId="69" fillId="0" borderId="0" xfId="840" quotePrefix="1" applyNumberFormat="1" applyFont="1"/>
    <xf numFmtId="41" fontId="48" fillId="0" borderId="0" xfId="1773" applyNumberFormat="1" applyFont="1" applyFill="1" applyAlignment="1">
      <alignment horizontal="right"/>
    </xf>
    <xf numFmtId="174" fontId="42" fillId="0" borderId="0" xfId="17" applyNumberFormat="1" applyAlignment="1">
      <alignment horizontal="right"/>
    </xf>
    <xf numFmtId="188" fontId="0" fillId="0" borderId="0" xfId="17" applyNumberFormat="1" applyFont="1" applyAlignment="1">
      <alignment horizontal="right"/>
    </xf>
    <xf numFmtId="177" fontId="0" fillId="0" borderId="0" xfId="17" applyNumberFormat="1" applyFont="1"/>
    <xf numFmtId="179" fontId="42" fillId="0" borderId="0" xfId="17" applyNumberFormat="1" applyAlignment="1">
      <alignment horizontal="right"/>
    </xf>
    <xf numFmtId="181" fontId="42" fillId="0" borderId="0" xfId="740" applyNumberFormat="1" applyFont="1"/>
    <xf numFmtId="165" fontId="42" fillId="0" borderId="0" xfId="840" applyNumberFormat="1" applyFont="1" applyProtection="1">
      <protection locked="0"/>
    </xf>
    <xf numFmtId="165" fontId="49" fillId="0" borderId="0" xfId="840" applyNumberFormat="1" applyFont="1" applyAlignment="1">
      <alignment horizontal="right"/>
    </xf>
    <xf numFmtId="165" fontId="49" fillId="0" borderId="0" xfId="840" applyNumberFormat="1" applyFont="1"/>
    <xf numFmtId="170" fontId="53" fillId="0" borderId="0" xfId="2" applyNumberFormat="1" applyFont="1"/>
    <xf numFmtId="170" fontId="53" fillId="0" borderId="17" xfId="2" applyNumberFormat="1" applyFont="1" applyBorder="1"/>
    <xf numFmtId="170" fontId="0" fillId="0" borderId="0" xfId="0" applyNumberFormat="1"/>
    <xf numFmtId="170" fontId="42" fillId="0" borderId="45" xfId="2" applyNumberFormat="1" applyBorder="1" applyAlignment="1">
      <alignment horizontal="center"/>
    </xf>
    <xf numFmtId="169" fontId="0" fillId="0" borderId="0" xfId="2" applyNumberFormat="1" applyFont="1"/>
    <xf numFmtId="174" fontId="42" fillId="0" borderId="27" xfId="2" applyNumberFormat="1" applyBorder="1"/>
    <xf numFmtId="170" fontId="0" fillId="0" borderId="27" xfId="2" applyNumberFormat="1" applyFont="1" applyBorder="1"/>
    <xf numFmtId="165" fontId="134" fillId="0" borderId="0" xfId="2" applyNumberFormat="1" applyFont="1"/>
    <xf numFmtId="170" fontId="49" fillId="0" borderId="61" xfId="2"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3" fillId="0" borderId="0" xfId="9967"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2" applyNumberFormat="1" applyFont="1" applyBorder="1"/>
    <xf numFmtId="164" fontId="42" fillId="0" borderId="26" xfId="2" applyNumberFormat="1" applyBorder="1"/>
    <xf numFmtId="165" fontId="83" fillId="0" borderId="0" xfId="0" applyNumberFormat="1" applyFont="1" applyProtection="1">
      <protection locked="0"/>
    </xf>
    <xf numFmtId="166" fontId="42" fillId="0" borderId="0" xfId="4" applyNumberFormat="1" applyFont="1"/>
    <xf numFmtId="0" fontId="42" fillId="0" borderId="0" xfId="4" applyFont="1" applyAlignment="1">
      <alignment horizontal="center"/>
    </xf>
    <xf numFmtId="166" fontId="42" fillId="0" borderId="14" xfId="4" applyNumberFormat="1" applyFont="1" applyBorder="1"/>
    <xf numFmtId="164" fontId="110" fillId="0" borderId="10" xfId="0" applyFont="1" applyBorder="1" applyAlignment="1">
      <alignment horizontal="center"/>
    </xf>
    <xf numFmtId="43" fontId="161" fillId="0" borderId="0" xfId="0" applyNumberFormat="1" applyFont="1"/>
    <xf numFmtId="49" fontId="110" fillId="0" borderId="0" xfId="0" applyNumberFormat="1" applyFont="1"/>
    <xf numFmtId="0" fontId="161" fillId="0" borderId="0" xfId="0" applyNumberFormat="1" applyFont="1" applyAlignment="1">
      <alignment horizontal="left"/>
    </xf>
    <xf numFmtId="0" fontId="161" fillId="0" borderId="0" xfId="0" applyNumberFormat="1" applyFont="1" applyAlignment="1">
      <alignment vertical="top"/>
    </xf>
    <xf numFmtId="0" fontId="47" fillId="0" borderId="0" xfId="0" applyNumberFormat="1" applyFont="1" applyAlignment="1">
      <alignment horizontal="left"/>
    </xf>
    <xf numFmtId="43" fontId="161" fillId="0" borderId="0" xfId="17924" applyFont="1"/>
    <xf numFmtId="164" fontId="47" fillId="0" borderId="0" xfId="0" applyFont="1" applyAlignment="1">
      <alignment horizontal="left" indent="1"/>
    </xf>
    <xf numFmtId="49" fontId="161" fillId="0" borderId="0" xfId="0" applyNumberFormat="1" applyFont="1" applyAlignment="1">
      <alignment vertical="top" wrapText="1"/>
    </xf>
    <xf numFmtId="169" fontId="54" fillId="0" borderId="0" xfId="8" applyNumberFormat="1" applyFont="1" applyAlignment="1">
      <alignment horizontal="right" vertical="top"/>
    </xf>
    <xf numFmtId="43" fontId="159" fillId="0" borderId="0" xfId="25872" applyFont="1" applyFill="1" applyBorder="1"/>
    <xf numFmtId="43" fontId="49" fillId="0" borderId="0" xfId="25869" applyNumberFormat="1" applyFont="1" applyFill="1" applyBorder="1"/>
    <xf numFmtId="164" fontId="110" fillId="0" borderId="0" xfId="0" applyFont="1" applyAlignment="1">
      <alignment horizontal="left"/>
    </xf>
    <xf numFmtId="43" fontId="110" fillId="0" borderId="0" xfId="0" applyNumberFormat="1" applyFont="1"/>
    <xf numFmtId="43" fontId="42" fillId="0" borderId="0" xfId="25869" applyNumberFormat="1" applyFont="1" applyFill="1" applyBorder="1"/>
    <xf numFmtId="43" fontId="42" fillId="0" borderId="0" xfId="17924" applyFont="1" applyFill="1" applyBorder="1" applyAlignment="1" applyProtection="1">
      <alignment horizontal="right"/>
    </xf>
    <xf numFmtId="43" fontId="0" fillId="0" borderId="0" xfId="17924" applyFont="1" applyFill="1" applyAlignment="1" applyProtection="1">
      <alignment horizontal="right"/>
    </xf>
    <xf numFmtId="44" fontId="49" fillId="0" borderId="54" xfId="25873" applyFont="1" applyFill="1" applyBorder="1"/>
    <xf numFmtId="44" fontId="110" fillId="0" borderId="0" xfId="0" applyNumberFormat="1" applyFont="1"/>
    <xf numFmtId="0" fontId="147" fillId="0" borderId="0" xfId="1028" quotePrefix="1" applyFont="1" applyAlignment="1">
      <alignment horizontal="right"/>
    </xf>
    <xf numFmtId="170" fontId="49" fillId="0" borderId="0" xfId="6" applyNumberFormat="1" applyFont="1" applyFill="1" applyBorder="1" applyAlignment="1" applyProtection="1"/>
    <xf numFmtId="165" fontId="0" fillId="0" borderId="0" xfId="2" quotePrefix="1" applyNumberFormat="1" applyFont="1" applyAlignment="1">
      <alignment horizontal="left"/>
    </xf>
    <xf numFmtId="164" fontId="42" fillId="0" borderId="0" xfId="1940" applyNumberFormat="1" applyFont="1" applyBorder="1" applyAlignment="1"/>
    <xf numFmtId="164" fontId="49" fillId="0" borderId="69" xfId="2" applyNumberFormat="1" applyFont="1" applyBorder="1"/>
    <xf numFmtId="165" fontId="157" fillId="0" borderId="0" xfId="2" applyNumberFormat="1" applyFont="1"/>
    <xf numFmtId="165" fontId="42" fillId="0" borderId="0" xfId="2" quotePrefix="1" applyNumberFormat="1" applyAlignment="1">
      <alignment horizontal="left"/>
    </xf>
    <xf numFmtId="44" fontId="42" fillId="0" borderId="0" xfId="25873" applyFont="1" applyFill="1" applyBorder="1"/>
    <xf numFmtId="44" fontId="49" fillId="0" borderId="0" xfId="25873" applyFont="1" applyFill="1" applyBorder="1"/>
    <xf numFmtId="164" fontId="110" fillId="0" borderId="65" xfId="0" applyFont="1" applyBorder="1" applyAlignment="1">
      <alignment horizontal="left"/>
    </xf>
    <xf numFmtId="4" fontId="110" fillId="0" borderId="0" xfId="0" applyNumberFormat="1" applyFont="1"/>
    <xf numFmtId="43" fontId="110" fillId="0" borderId="65" xfId="0" applyNumberFormat="1" applyFont="1" applyBorder="1"/>
    <xf numFmtId="198" fontId="42" fillId="0" borderId="0" xfId="0" applyNumberFormat="1" applyFont="1"/>
    <xf numFmtId="0" fontId="49" fillId="0" borderId="0" xfId="25864" applyFont="1" applyFill="1"/>
    <xf numFmtId="44" fontId="49" fillId="0" borderId="0" xfId="25867" applyFont="1" applyFill="1" applyBorder="1"/>
    <xf numFmtId="0" fontId="49" fillId="0" borderId="0" xfId="25870" applyFill="1"/>
    <xf numFmtId="44" fontId="49" fillId="0" borderId="0" xfId="25867" applyFont="1" applyFill="1" applyBorder="1" applyAlignment="1">
      <alignment horizontal="right"/>
    </xf>
    <xf numFmtId="44" fontId="49" fillId="0" borderId="54" xfId="25867" applyFont="1" applyFill="1" applyBorder="1"/>
    <xf numFmtId="44" fontId="159" fillId="0" borderId="0" xfId="25872" applyNumberFormat="1" applyFont="1" applyFill="1" applyBorder="1" applyAlignment="1">
      <alignment horizontal="left"/>
    </xf>
    <xf numFmtId="0" fontId="0" fillId="0" borderId="0" xfId="0" applyNumberFormat="1" applyAlignment="1">
      <alignment horizontal="left"/>
    </xf>
    <xf numFmtId="170" fontId="42" fillId="0" borderId="14" xfId="4" applyNumberFormat="1" applyFont="1" applyBorder="1"/>
    <xf numFmtId="170" fontId="42" fillId="0" borderId="0" xfId="4" applyNumberFormat="1" applyFont="1"/>
    <xf numFmtId="44" fontId="161" fillId="0" borderId="0" xfId="0" applyNumberFormat="1" applyFont="1"/>
    <xf numFmtId="49" fontId="47" fillId="0" borderId="0" xfId="0" applyNumberFormat="1" applyFont="1" applyAlignment="1">
      <alignment horizontal="left" vertical="top"/>
    </xf>
    <xf numFmtId="177" fontId="65" fillId="0" borderId="0" xfId="740" applyNumberFormat="1" applyFont="1"/>
    <xf numFmtId="0" fontId="42" fillId="0" borderId="0" xfId="1028" applyAlignment="1">
      <alignment horizontal="left"/>
    </xf>
    <xf numFmtId="164" fontId="54" fillId="0" borderId="0" xfId="0" applyFont="1"/>
    <xf numFmtId="42" fontId="53" fillId="0" borderId="0" xfId="840" applyNumberFormat="1" applyFont="1"/>
    <xf numFmtId="42" fontId="147" fillId="0" borderId="0" xfId="840" applyNumberFormat="1" applyFont="1"/>
    <xf numFmtId="37" fontId="147" fillId="0" borderId="0" xfId="840" applyNumberFormat="1" applyFont="1"/>
    <xf numFmtId="41" fontId="53" fillId="0" borderId="0" xfId="11" applyNumberFormat="1" applyFont="1" applyFill="1" applyAlignment="1"/>
    <xf numFmtId="166" fontId="54" fillId="0" borderId="0" xfId="8" applyNumberFormat="1" applyFont="1" applyAlignment="1">
      <alignment horizontal="right"/>
    </xf>
    <xf numFmtId="169" fontId="97" fillId="0" borderId="0" xfId="8" applyNumberFormat="1"/>
    <xf numFmtId="166" fontId="68" fillId="0" borderId="0" xfId="2" quotePrefix="1" applyNumberFormat="1" applyFont="1" applyAlignment="1">
      <alignment horizontal="left"/>
    </xf>
    <xf numFmtId="4" fontId="42" fillId="0" borderId="0" xfId="1028" applyNumberFormat="1" applyAlignment="1">
      <alignment horizontal="centerContinuous"/>
    </xf>
    <xf numFmtId="43" fontId="42" fillId="0" borderId="0" xfId="25872" applyFont="1" applyFill="1" applyBorder="1" applyAlignment="1">
      <alignment horizontal="left"/>
    </xf>
    <xf numFmtId="44" fontId="42" fillId="0" borderId="0" xfId="25872" applyNumberFormat="1" applyFont="1" applyFill="1" applyBorder="1" applyAlignment="1">
      <alignment horizontal="left"/>
    </xf>
    <xf numFmtId="43" fontId="42" fillId="0" borderId="0" xfId="25872" applyFont="1" applyFill="1" applyBorder="1"/>
    <xf numFmtId="0" fontId="54" fillId="0" borderId="0" xfId="0" applyNumberFormat="1" applyFont="1" applyAlignment="1">
      <alignment horizontal="left" vertical="top"/>
    </xf>
    <xf numFmtId="0" fontId="70" fillId="33" borderId="0" xfId="2" applyFont="1" applyFill="1" applyAlignment="1">
      <alignment horizontal="left" vertical="center"/>
    </xf>
    <xf numFmtId="37" fontId="47" fillId="33" borderId="0" xfId="2" applyNumberFormat="1" applyFont="1" applyFill="1" applyAlignment="1">
      <alignment vertical="center"/>
    </xf>
    <xf numFmtId="37" fontId="47" fillId="0" borderId="0" xfId="2" applyNumberFormat="1" applyFont="1" applyAlignment="1">
      <alignment vertical="center"/>
    </xf>
    <xf numFmtId="0" fontId="70" fillId="0" borderId="0" xfId="2" applyFont="1" applyAlignment="1">
      <alignment horizontal="left" vertical="center"/>
    </xf>
    <xf numFmtId="190" fontId="54" fillId="0" borderId="0" xfId="8" applyNumberFormat="1" applyFont="1" applyAlignment="1">
      <alignment horizontal="right"/>
    </xf>
    <xf numFmtId="164" fontId="137" fillId="0" borderId="0" xfId="0" applyFont="1"/>
    <xf numFmtId="164" fontId="54" fillId="0" borderId="0" xfId="0" applyFont="1" applyAlignment="1">
      <alignment horizontal="left"/>
    </xf>
    <xf numFmtId="164" fontId="54" fillId="0" borderId="0" xfId="0" applyFont="1" applyAlignment="1">
      <alignment horizontal="right"/>
    </xf>
    <xf numFmtId="164" fontId="138" fillId="0" borderId="0" xfId="0" applyFont="1"/>
    <xf numFmtId="164" fontId="138" fillId="0" borderId="0" xfId="0" applyFont="1" applyAlignment="1">
      <alignment horizontal="left"/>
    </xf>
    <xf numFmtId="170" fontId="49" fillId="0" borderId="69" xfId="2" applyNumberFormat="1" applyFont="1" applyBorder="1" applyAlignment="1">
      <alignment horizontal="right"/>
    </xf>
    <xf numFmtId="170" fontId="49" fillId="0" borderId="53" xfId="2" applyNumberFormat="1" applyFont="1" applyBorder="1"/>
    <xf numFmtId="4" fontId="0" fillId="0" borderId="0" xfId="0" applyNumberFormat="1" applyAlignment="1">
      <alignment horizontal="right"/>
    </xf>
    <xf numFmtId="43" fontId="129" fillId="0" borderId="0" xfId="2" applyNumberFormat="1" applyFont="1"/>
    <xf numFmtId="43" fontId="0" fillId="0" borderId="0" xfId="2" applyNumberFormat="1" applyFont="1" applyAlignment="1">
      <alignment horizontal="center" vertical="top"/>
    </xf>
    <xf numFmtId="43" fontId="49" fillId="0" borderId="65" xfId="25873" applyNumberFormat="1" applyFont="1" applyFill="1" applyBorder="1" applyAlignment="1">
      <alignment horizontal="right"/>
    </xf>
    <xf numFmtId="43" fontId="49" fillId="0" borderId="0" xfId="25873" applyNumberFormat="1" applyFont="1" applyFill="1" applyBorder="1" applyAlignment="1">
      <alignment horizontal="right"/>
    </xf>
    <xf numFmtId="43" fontId="49" fillId="0" borderId="65" xfId="25867" applyNumberFormat="1" applyFont="1" applyFill="1" applyBorder="1" applyAlignment="1">
      <alignment horizontal="right"/>
    </xf>
    <xf numFmtId="174" fontId="0" fillId="0" borderId="0" xfId="2"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8" applyNumberFormat="1" applyFont="1"/>
    <xf numFmtId="169" fontId="54" fillId="0" borderId="0" xfId="8" applyNumberFormat="1" applyFont="1"/>
    <xf numFmtId="166" fontId="97" fillId="0" borderId="0" xfId="8" applyNumberFormat="1"/>
    <xf numFmtId="169" fontId="139" fillId="0" borderId="0" xfId="8" applyNumberFormat="1" applyFont="1"/>
    <xf numFmtId="166" fontId="54" fillId="0" borderId="0" xfId="8" quotePrefix="1" applyNumberFormat="1" applyFont="1"/>
    <xf numFmtId="0" fontId="47" fillId="0" borderId="66" xfId="860" applyFont="1" applyBorder="1"/>
    <xf numFmtId="0" fontId="47" fillId="0" borderId="64" xfId="860" applyFont="1" applyBorder="1"/>
    <xf numFmtId="164" fontId="49" fillId="0" borderId="69" xfId="0" applyFont="1" applyBorder="1"/>
    <xf numFmtId="170" fontId="49" fillId="0" borderId="45" xfId="0" applyNumberFormat="1" applyFont="1" applyBorder="1"/>
    <xf numFmtId="170" fontId="49" fillId="0" borderId="45" xfId="2" applyNumberFormat="1" applyFont="1" applyBorder="1" applyAlignment="1">
      <alignment horizontal="right"/>
    </xf>
    <xf numFmtId="170" fontId="42" fillId="0" borderId="45" xfId="0" applyNumberFormat="1" applyFont="1" applyBorder="1" applyAlignment="1">
      <alignment horizontal="right"/>
    </xf>
    <xf numFmtId="165" fontId="42" fillId="0" borderId="0" xfId="2" applyNumberFormat="1" applyAlignment="1">
      <alignment horizontal="center"/>
    </xf>
    <xf numFmtId="0" fontId="42" fillId="0" borderId="64" xfId="2" applyBorder="1"/>
    <xf numFmtId="165" fontId="42" fillId="0" borderId="64" xfId="2" applyNumberFormat="1" applyBorder="1"/>
    <xf numFmtId="166" fontId="49" fillId="0" borderId="45" xfId="2" quotePrefix="1" applyNumberFormat="1" applyFont="1" applyBorder="1" applyAlignment="1">
      <alignment horizontal="center"/>
    </xf>
    <xf numFmtId="170" fontId="42" fillId="0" borderId="49" xfId="2" applyNumberFormat="1" applyBorder="1"/>
    <xf numFmtId="0" fontId="42" fillId="0" borderId="0" xfId="2" quotePrefix="1"/>
    <xf numFmtId="0" fontId="42" fillId="0" borderId="0" xfId="2" quotePrefix="1" applyAlignment="1">
      <alignment horizontal="center"/>
    </xf>
    <xf numFmtId="164" fontId="49" fillId="0" borderId="61" xfId="2" applyNumberFormat="1" applyFont="1" applyBorder="1"/>
    <xf numFmtId="174" fontId="49" fillId="0" borderId="64" xfId="2" applyNumberFormat="1" applyFont="1" applyBorder="1"/>
    <xf numFmtId="172" fontId="49" fillId="0" borderId="54" xfId="2" applyNumberFormat="1" applyFont="1" applyBorder="1"/>
    <xf numFmtId="174" fontId="42" fillId="0" borderId="45" xfId="2" applyNumberFormat="1" applyBorder="1"/>
    <xf numFmtId="170" fontId="49" fillId="0" borderId="61" xfId="2" applyNumberFormat="1" applyFont="1" applyBorder="1" applyAlignment="1">
      <alignment horizontal="right"/>
    </xf>
    <xf numFmtId="170" fontId="49" fillId="0" borderId="61" xfId="2" applyNumberFormat="1" applyFont="1" applyBorder="1" applyProtection="1">
      <protection locked="0"/>
    </xf>
    <xf numFmtId="164" fontId="49" fillId="0" borderId="61" xfId="2" applyNumberFormat="1" applyFont="1" applyBorder="1" applyProtection="1">
      <protection locked="0"/>
    </xf>
    <xf numFmtId="170" fontId="49" fillId="0" borderId="61" xfId="2" applyNumberFormat="1" applyFont="1" applyBorder="1" applyAlignment="1">
      <alignment horizontal="center"/>
    </xf>
    <xf numFmtId="174" fontId="49" fillId="0" borderId="64" xfId="2" applyNumberFormat="1" applyFont="1" applyBorder="1" applyAlignment="1">
      <alignment horizontal="right"/>
    </xf>
    <xf numFmtId="174" fontId="49" fillId="0" borderId="71" xfId="2" applyNumberFormat="1" applyFont="1" applyBorder="1" applyAlignment="1">
      <alignment horizontal="right"/>
    </xf>
    <xf numFmtId="174" fontId="49" fillId="0" borderId="54" xfId="2" quotePrefix="1" applyNumberFormat="1" applyFont="1" applyBorder="1"/>
    <xf numFmtId="0" fontId="42" fillId="33" borderId="45" xfId="2" applyFill="1" applyBorder="1" applyAlignment="1">
      <alignment horizontal="center"/>
    </xf>
    <xf numFmtId="37" fontId="47" fillId="0" borderId="64" xfId="2" applyNumberFormat="1" applyFont="1" applyBorder="1"/>
    <xf numFmtId="37" fontId="42" fillId="0" borderId="45" xfId="2" applyNumberFormat="1" applyBorder="1"/>
    <xf numFmtId="37" fontId="49" fillId="0" borderId="45" xfId="2" applyNumberFormat="1" applyFont="1" applyBorder="1" applyAlignment="1" applyProtection="1">
      <alignment horizontal="centerContinuous"/>
      <protection locked="0"/>
    </xf>
    <xf numFmtId="37" fontId="129" fillId="0" borderId="45" xfId="2"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2" applyNumberFormat="1" applyFont="1" applyBorder="1"/>
    <xf numFmtId="170" fontId="49" fillId="0" borderId="66" xfId="0" applyNumberFormat="1" applyFont="1" applyBorder="1"/>
    <xf numFmtId="170" fontId="62" fillId="0" borderId="69" xfId="2" applyNumberFormat="1" applyFont="1" applyBorder="1"/>
    <xf numFmtId="164" fontId="49" fillId="0" borderId="69" xfId="0" applyFont="1" applyBorder="1" applyProtection="1">
      <protection locked="0"/>
    </xf>
    <xf numFmtId="170" fontId="49" fillId="0" borderId="45" xfId="5" applyNumberFormat="1" applyFont="1" applyFill="1" applyBorder="1"/>
    <xf numFmtId="166" fontId="63" fillId="0" borderId="65" xfId="2" applyNumberFormat="1" applyFont="1" applyBorder="1"/>
    <xf numFmtId="170" fontId="63" fillId="0" borderId="65" xfId="2" applyNumberFormat="1" applyFont="1" applyBorder="1"/>
    <xf numFmtId="166" fontId="42" fillId="0" borderId="0" xfId="2" quotePrefix="1" applyNumberFormat="1" applyAlignment="1">
      <alignment horizontal="left"/>
    </xf>
    <xf numFmtId="170" fontId="49" fillId="0" borderId="45" xfId="5" applyNumberFormat="1" applyFont="1" applyFill="1" applyBorder="1" applyProtection="1"/>
    <xf numFmtId="166" fontId="63" fillId="0" borderId="26" xfId="2" applyNumberFormat="1" applyFont="1" applyBorder="1"/>
    <xf numFmtId="170" fontId="62" fillId="0" borderId="25" xfId="2" applyNumberFormat="1" applyFont="1" applyBorder="1"/>
    <xf numFmtId="170" fontId="63" fillId="0" borderId="64" xfId="2" applyNumberFormat="1" applyFont="1" applyBorder="1"/>
    <xf numFmtId="1" fontId="49" fillId="0" borderId="45" xfId="2" quotePrefix="1" applyNumberFormat="1" applyFont="1" applyBorder="1" applyAlignment="1">
      <alignment horizontal="center"/>
    </xf>
    <xf numFmtId="0" fontId="42" fillId="0" borderId="16" xfId="2" applyBorder="1"/>
    <xf numFmtId="172" fontId="42" fillId="0" borderId="45" xfId="2" applyNumberFormat="1" applyBorder="1"/>
    <xf numFmtId="172" fontId="42" fillId="0" borderId="45" xfId="0" applyNumberFormat="1" applyFont="1" applyBorder="1"/>
    <xf numFmtId="170" fontId="42" fillId="0" borderId="26" xfId="2" applyNumberFormat="1" applyBorder="1"/>
    <xf numFmtId="3" fontId="42" fillId="0" borderId="0" xfId="2" applyNumberFormat="1" applyAlignment="1">
      <alignment horizontal="left"/>
    </xf>
    <xf numFmtId="164" fontId="49" fillId="0" borderId="45" xfId="2" quotePrefix="1" applyNumberFormat="1" applyFont="1" applyBorder="1" applyAlignment="1">
      <alignment horizontal="right"/>
    </xf>
    <xf numFmtId="166" fontId="42" fillId="0" borderId="64" xfId="2" applyNumberFormat="1" applyBorder="1"/>
    <xf numFmtId="164" fontId="42" fillId="0" borderId="64" xfId="2" applyNumberFormat="1" applyBorder="1"/>
    <xf numFmtId="165" fontId="42" fillId="0" borderId="14" xfId="2" applyNumberFormat="1" applyBorder="1"/>
    <xf numFmtId="165" fontId="42" fillId="0" borderId="17" xfId="2" applyNumberFormat="1" applyBorder="1"/>
    <xf numFmtId="165" fontId="42" fillId="0" borderId="27" xfId="2" applyNumberFormat="1" applyBorder="1"/>
    <xf numFmtId="170" fontId="42" fillId="0" borderId="27" xfId="2" applyNumberFormat="1" applyBorder="1" applyAlignment="1">
      <alignment horizontal="center"/>
    </xf>
    <xf numFmtId="165" fontId="42" fillId="0" borderId="0" xfId="2" applyNumberFormat="1" applyAlignment="1">
      <alignment horizontal="left"/>
    </xf>
    <xf numFmtId="170" fontId="42" fillId="0" borderId="65" xfId="2" applyNumberFormat="1" applyBorder="1"/>
    <xf numFmtId="164" fontId="42" fillId="0" borderId="65" xfId="2" applyNumberFormat="1" applyBorder="1"/>
    <xf numFmtId="170" fontId="42" fillId="0" borderId="0" xfId="5" applyNumberFormat="1" applyFont="1" applyFill="1" applyProtection="1"/>
    <xf numFmtId="170" fontId="42" fillId="0" borderId="0" xfId="5" applyNumberFormat="1" applyFont="1" applyFill="1" applyBorder="1" applyProtection="1"/>
    <xf numFmtId="168" fontId="42" fillId="0" borderId="20" xfId="2" applyNumberFormat="1" applyBorder="1"/>
    <xf numFmtId="165" fontId="42" fillId="0" borderId="19" xfId="2" applyNumberFormat="1" applyBorder="1"/>
    <xf numFmtId="170" fontId="49" fillId="0" borderId="45" xfId="1046" applyNumberFormat="1" applyFont="1" applyFill="1" applyBorder="1"/>
    <xf numFmtId="164" fontId="49" fillId="0" borderId="45" xfId="1046" applyNumberFormat="1" applyFont="1" applyFill="1" applyBorder="1"/>
    <xf numFmtId="166" fontId="42" fillId="0" borderId="19" xfId="2" applyNumberFormat="1" applyBorder="1"/>
    <xf numFmtId="164" fontId="49" fillId="0" borderId="45" xfId="2" applyNumberFormat="1" applyFont="1" applyBorder="1" applyAlignment="1">
      <alignment horizontal="center"/>
    </xf>
    <xf numFmtId="165" fontId="42" fillId="0" borderId="16" xfId="2" applyNumberFormat="1" applyBorder="1"/>
    <xf numFmtId="166" fontId="42" fillId="0" borderId="16" xfId="2" applyNumberFormat="1" applyBorder="1"/>
    <xf numFmtId="164" fontId="49" fillId="0" borderId="25" xfId="2" applyNumberFormat="1" applyFont="1" applyBorder="1" applyAlignment="1">
      <alignment horizontal="right"/>
    </xf>
    <xf numFmtId="170" fontId="42" fillId="0" borderId="65" xfId="2" applyNumberFormat="1" applyBorder="1" applyAlignment="1">
      <alignment horizontal="right"/>
    </xf>
    <xf numFmtId="172" fontId="49" fillId="0" borderId="45" xfId="2" applyNumberFormat="1" applyFont="1" applyBorder="1" applyAlignment="1">
      <alignment horizontal="right"/>
    </xf>
    <xf numFmtId="164" fontId="42" fillId="0" borderId="65" xfId="2" applyNumberFormat="1" applyBorder="1" applyAlignment="1">
      <alignment horizontal="right"/>
    </xf>
    <xf numFmtId="172" fontId="49" fillId="0" borderId="15" xfId="2" applyNumberFormat="1" applyFont="1" applyBorder="1"/>
    <xf numFmtId="0" fontId="49" fillId="0" borderId="45" xfId="4" applyFont="1" applyBorder="1" applyAlignment="1">
      <alignment horizontal="center"/>
    </xf>
    <xf numFmtId="166" fontId="49" fillId="0" borderId="45" xfId="4" applyNumberFormat="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170" fontId="42" fillId="0" borderId="0" xfId="4" applyNumberFormat="1" applyFont="1" applyAlignment="1">
      <alignment horizontal="center"/>
    </xf>
    <xf numFmtId="164" fontId="42" fillId="0" borderId="0" xfId="4" applyNumberFormat="1" applyFont="1"/>
    <xf numFmtId="170" fontId="42" fillId="0" borderId="45" xfId="4" quotePrefix="1" applyNumberFormat="1" applyFont="1" applyBorder="1"/>
    <xf numFmtId="170" fontId="49" fillId="0" borderId="45" xfId="4" applyNumberFormat="1" applyFont="1" applyBorder="1"/>
    <xf numFmtId="170" fontId="42" fillId="0" borderId="45" xfId="4" applyNumberFormat="1" applyFont="1" applyBorder="1"/>
    <xf numFmtId="170" fontId="42" fillId="0" borderId="0" xfId="4" applyNumberFormat="1" applyFont="1" applyAlignment="1">
      <alignment horizontal="right"/>
    </xf>
    <xf numFmtId="170" fontId="0" fillId="0" borderId="45" xfId="2" applyNumberFormat="1" applyFont="1" applyBorder="1"/>
    <xf numFmtId="172" fontId="0" fillId="0" borderId="45" xfId="2" applyNumberFormat="1" applyFont="1" applyBorder="1"/>
    <xf numFmtId="170" fontId="42" fillId="0" borderId="0" xfId="2" applyNumberFormat="1" applyAlignment="1">
      <alignment horizontal="right" vertical="center"/>
    </xf>
    <xf numFmtId="170" fontId="42" fillId="0" borderId="17" xfId="2" applyNumberFormat="1" applyBorder="1" applyAlignment="1">
      <alignment horizontal="right" vertical="center"/>
    </xf>
    <xf numFmtId="170" fontId="42" fillId="0" borderId="0" xfId="5" applyNumberFormat="1" applyFont="1" applyFill="1"/>
    <xf numFmtId="170" fontId="49" fillId="0" borderId="45" xfId="1" applyNumberFormat="1" applyFont="1" applyBorder="1" applyAlignment="1"/>
    <xf numFmtId="170" fontId="49" fillId="0" borderId="45" xfId="1" applyNumberFormat="1" applyFont="1" applyFill="1" applyBorder="1" applyAlignment="1"/>
    <xf numFmtId="169" fontId="42" fillId="0" borderId="17" xfId="2" applyNumberFormat="1" applyBorder="1"/>
    <xf numFmtId="172" fontId="42" fillId="0" borderId="0" xfId="1940" applyNumberFormat="1" applyFont="1" applyFill="1" applyBorder="1" applyAlignment="1" applyProtection="1"/>
    <xf numFmtId="169" fontId="42" fillId="0" borderId="0" xfId="6" applyNumberFormat="1" applyFont="1" applyFill="1" applyBorder="1" applyAlignment="1" applyProtection="1"/>
    <xf numFmtId="164" fontId="49" fillId="0" borderId="25" xfId="0" applyFont="1" applyBorder="1" applyProtection="1">
      <protection locked="0"/>
    </xf>
    <xf numFmtId="170" fontId="42" fillId="0" borderId="0" xfId="2" quotePrefix="1" applyNumberFormat="1" applyAlignment="1">
      <alignment horizontal="left"/>
    </xf>
    <xf numFmtId="170" fontId="42" fillId="0" borderId="45" xfId="1" applyNumberFormat="1" applyFont="1" applyFill="1" applyBorder="1" applyAlignment="1">
      <alignment horizontal="center"/>
    </xf>
    <xf numFmtId="170" fontId="42" fillId="0" borderId="0" xfId="1" applyNumberFormat="1" applyFont="1" applyFill="1" applyBorder="1" applyAlignment="1">
      <alignment horizontal="center"/>
    </xf>
    <xf numFmtId="0" fontId="65" fillId="0" borderId="64" xfId="836" applyFont="1" applyBorder="1"/>
    <xf numFmtId="177" fontId="70" fillId="0" borderId="61" xfId="836" applyNumberFormat="1" applyFont="1" applyBorder="1" applyAlignment="1">
      <alignment horizontal="right"/>
    </xf>
    <xf numFmtId="177" fontId="65" fillId="0" borderId="64" xfId="836" applyNumberFormat="1" applyFont="1" applyBorder="1"/>
    <xf numFmtId="184" fontId="65" fillId="0" borderId="64" xfId="836" applyNumberFormat="1" applyFont="1" applyBorder="1"/>
    <xf numFmtId="0" fontId="70" fillId="0" borderId="64" xfId="836" applyFont="1" applyBorder="1"/>
    <xf numFmtId="0" fontId="48" fillId="0" borderId="10" xfId="0" applyNumberFormat="1" applyFont="1" applyBorder="1" applyAlignment="1">
      <alignment horizontal="center"/>
    </xf>
    <xf numFmtId="43" fontId="48" fillId="0" borderId="10" xfId="9967" quotePrefix="1" applyNumberFormat="1" applyFont="1" applyBorder="1" applyAlignment="1">
      <alignment horizontal="center"/>
    </xf>
    <xf numFmtId="189" fontId="42" fillId="0" borderId="64" xfId="11" applyNumberFormat="1" applyFont="1" applyFill="1" applyBorder="1" applyAlignment="1"/>
    <xf numFmtId="41" fontId="42" fillId="0" borderId="65" xfId="11" applyNumberFormat="1" applyFont="1" applyFill="1" applyBorder="1" applyAlignment="1"/>
    <xf numFmtId="41" fontId="49" fillId="0" borderId="10" xfId="840" applyNumberFormat="1" applyFont="1" applyBorder="1"/>
    <xf numFmtId="43" fontId="49" fillId="0" borderId="10" xfId="1776" applyNumberFormat="1" applyFont="1" applyBorder="1" applyAlignment="1">
      <alignment horizontal="right"/>
    </xf>
    <xf numFmtId="44" fontId="49" fillId="0" borderId="15" xfId="1776" applyNumberFormat="1" applyFont="1" applyBorder="1" applyAlignment="1">
      <alignment horizontal="right"/>
    </xf>
    <xf numFmtId="164" fontId="70" fillId="0" borderId="10" xfId="0" applyFont="1" applyBorder="1" applyAlignment="1">
      <alignment horizontal="center"/>
    </xf>
    <xf numFmtId="41" fontId="49" fillId="0" borderId="61" xfId="739" applyNumberFormat="1" applyFont="1" applyBorder="1"/>
    <xf numFmtId="42" fontId="96" fillId="0" borderId="15" xfId="739" applyNumberFormat="1" applyFont="1" applyBorder="1"/>
    <xf numFmtId="0" fontId="3" fillId="0" borderId="0" xfId="841" applyFont="1"/>
    <xf numFmtId="41" fontId="42" fillId="0" borderId="65" xfId="11" applyNumberFormat="1" applyFont="1" applyBorder="1" applyAlignment="1"/>
    <xf numFmtId="42" fontId="147" fillId="0" borderId="15" xfId="840" applyNumberFormat="1" applyFont="1" applyBorder="1"/>
    <xf numFmtId="0" fontId="47" fillId="0" borderId="61" xfId="860" applyFont="1" applyBorder="1"/>
    <xf numFmtId="0" fontId="140" fillId="0" borderId="61" xfId="860" applyFont="1" applyBorder="1"/>
    <xf numFmtId="0" fontId="47" fillId="0" borderId="61" xfId="860" applyFont="1" applyBorder="1" applyAlignment="1">
      <alignment horizontal="left"/>
    </xf>
    <xf numFmtId="170" fontId="49" fillId="0" borderId="25" xfId="4" applyNumberFormat="1" applyFont="1" applyBorder="1"/>
    <xf numFmtId="170" fontId="49" fillId="0" borderId="26" xfId="2" applyNumberFormat="1" applyFont="1" applyBorder="1"/>
    <xf numFmtId="172" fontId="49" fillId="0" borderId="25" xfId="0" applyNumberFormat="1" applyFont="1" applyBorder="1"/>
    <xf numFmtId="170" fontId="42" fillId="0" borderId="26" xfId="5517" applyNumberFormat="1" applyFont="1" applyBorder="1"/>
    <xf numFmtId="170" fontId="42" fillId="0" borderId="26" xfId="4" applyNumberFormat="1" applyFont="1" applyBorder="1"/>
    <xf numFmtId="170" fontId="42" fillId="0" borderId="26" xfId="4" applyNumberFormat="1" applyFont="1" applyBorder="1" applyAlignment="1">
      <alignment horizontal="center"/>
    </xf>
    <xf numFmtId="166" fontId="42" fillId="0" borderId="26" xfId="4" applyNumberFormat="1" applyFont="1" applyBorder="1"/>
    <xf numFmtId="166" fontId="42" fillId="0" borderId="26" xfId="4" applyNumberFormat="1" applyFont="1" applyBorder="1" applyAlignment="1">
      <alignment horizontal="right"/>
    </xf>
    <xf numFmtId="170" fontId="62" fillId="0" borderId="19" xfId="2" applyNumberFormat="1" applyFont="1" applyBorder="1"/>
    <xf numFmtId="170" fontId="204" fillId="0" borderId="0" xfId="0" quotePrefix="1" applyNumberFormat="1" applyFont="1" applyAlignment="1">
      <alignment horizontal="right"/>
    </xf>
    <xf numFmtId="174" fontId="42" fillId="0" borderId="16" xfId="2" applyNumberFormat="1" applyBorder="1"/>
    <xf numFmtId="174" fontId="49" fillId="0" borderId="16" xfId="2" applyNumberFormat="1" applyFont="1" applyBorder="1"/>
    <xf numFmtId="170" fontId="0" fillId="0" borderId="0" xfId="0" applyNumberFormat="1" applyAlignment="1" applyProtection="1">
      <alignment horizontal="right"/>
      <protection locked="0"/>
    </xf>
    <xf numFmtId="0" fontId="205" fillId="0" borderId="0" xfId="2" quotePrefix="1" applyFont="1" applyAlignment="1">
      <alignment horizontal="center"/>
    </xf>
    <xf numFmtId="3" fontId="49" fillId="0" borderId="0" xfId="2" applyNumberFormat="1" applyFont="1" applyAlignment="1">
      <alignment horizontal="center"/>
    </xf>
    <xf numFmtId="3" fontId="42" fillId="0" borderId="64" xfId="2" applyNumberFormat="1" applyBorder="1"/>
    <xf numFmtId="170" fontId="83" fillId="0" borderId="0" xfId="2" applyNumberFormat="1" applyFont="1"/>
    <xf numFmtId="165" fontId="45" fillId="0" borderId="0" xfId="2" applyNumberFormat="1" applyFont="1"/>
    <xf numFmtId="0" fontId="207" fillId="0" borderId="0" xfId="2" applyFont="1"/>
    <xf numFmtId="170" fontId="159" fillId="0" borderId="0" xfId="5517" applyNumberFormat="1" applyFont="1"/>
    <xf numFmtId="165" fontId="159" fillId="0" borderId="0" xfId="2" applyNumberFormat="1" applyFont="1"/>
    <xf numFmtId="165" fontId="208" fillId="0" borderId="0" xfId="2" applyNumberFormat="1" applyFont="1"/>
    <xf numFmtId="164" fontId="159" fillId="0" borderId="0" xfId="0" applyFont="1"/>
    <xf numFmtId="170" fontId="159" fillId="0" borderId="0" xfId="5" applyNumberFormat="1" applyFont="1" applyFill="1" applyProtection="1"/>
    <xf numFmtId="170" fontId="159" fillId="0" borderId="0" xfId="5" applyNumberFormat="1" applyFont="1" applyFill="1" applyBorder="1" applyProtection="1"/>
    <xf numFmtId="170" fontId="159" fillId="0" borderId="0" xfId="2" quotePrefix="1" applyNumberFormat="1" applyFont="1" applyAlignment="1">
      <alignment horizontal="right"/>
    </xf>
    <xf numFmtId="170" fontId="159" fillId="0" borderId="17" xfId="2" applyNumberFormat="1" applyFont="1" applyBorder="1"/>
    <xf numFmtId="170" fontId="159" fillId="0" borderId="0" xfId="2" applyNumberFormat="1" applyFont="1" applyAlignment="1">
      <alignment horizontal="right"/>
    </xf>
    <xf numFmtId="170" fontId="159" fillId="0" borderId="27" xfId="2" applyNumberFormat="1" applyFont="1" applyBorder="1"/>
    <xf numFmtId="170" fontId="209" fillId="0" borderId="0" xfId="2" applyNumberFormat="1" applyFont="1"/>
    <xf numFmtId="165" fontId="85" fillId="0" borderId="0" xfId="2" applyNumberFormat="1" applyFont="1"/>
    <xf numFmtId="170" fontId="204" fillId="0" borderId="0" xfId="2" applyNumberFormat="1" applyFont="1" applyAlignment="1">
      <alignment horizontal="center"/>
    </xf>
    <xf numFmtId="166" fontId="49" fillId="0" borderId="0" xfId="4" applyNumberFormat="1" applyFont="1"/>
    <xf numFmtId="170" fontId="42" fillId="0" borderId="0" xfId="5517" quotePrefix="1" applyNumberFormat="1" applyFont="1" applyAlignment="1">
      <alignment horizontal="right"/>
    </xf>
    <xf numFmtId="166" fontId="159" fillId="0" borderId="0" xfId="2" applyNumberFormat="1" applyFont="1"/>
    <xf numFmtId="165" fontId="88" fillId="0" borderId="0" xfId="2" applyNumberFormat="1" applyFont="1"/>
    <xf numFmtId="169" fontId="42" fillId="0" borderId="0" xfId="2" quotePrefix="1" applyNumberFormat="1" applyAlignment="1">
      <alignment horizontal="right"/>
    </xf>
    <xf numFmtId="170" fontId="88" fillId="0" borderId="0" xfId="2" applyNumberFormat="1" applyFont="1"/>
    <xf numFmtId="170" fontId="49" fillId="0" borderId="23" xfId="2" applyNumberFormat="1" applyFont="1" applyBorder="1"/>
    <xf numFmtId="165" fontId="90" fillId="0" borderId="0" xfId="2" applyNumberFormat="1" applyFont="1" applyAlignment="1">
      <alignment horizontal="left"/>
    </xf>
    <xf numFmtId="177" fontId="49" fillId="0" borderId="23" xfId="740" applyNumberFormat="1" applyFont="1" applyBorder="1" applyAlignment="1">
      <alignment horizontal="center"/>
    </xf>
    <xf numFmtId="177" fontId="49" fillId="0" borderId="10" xfId="740" applyNumberFormat="1" applyFont="1" applyBorder="1" applyAlignment="1">
      <alignment horizontal="center"/>
    </xf>
    <xf numFmtId="180" fontId="42" fillId="0" borderId="0" xfId="740" applyNumberFormat="1" applyFont="1"/>
    <xf numFmtId="177" fontId="42" fillId="0" borderId="0" xfId="740" quotePrefix="1" applyNumberFormat="1" applyFont="1"/>
    <xf numFmtId="180" fontId="97" fillId="0" borderId="0" xfId="740" applyNumberFormat="1" applyFont="1"/>
    <xf numFmtId="0" fontId="57" fillId="0" borderId="0" xfId="836" applyFont="1"/>
    <xf numFmtId="183" fontId="70" fillId="0" borderId="0" xfId="836" quotePrefix="1" applyNumberFormat="1" applyFont="1" applyAlignment="1">
      <alignment horizontal="center"/>
    </xf>
    <xf numFmtId="0" fontId="66" fillId="0" borderId="64" xfId="836" applyFont="1" applyBorder="1"/>
    <xf numFmtId="184" fontId="65" fillId="0" borderId="0" xfId="836" applyNumberFormat="1" applyFont="1" applyAlignment="1">
      <alignment horizontal="right"/>
    </xf>
    <xf numFmtId="39" fontId="80" fillId="0" borderId="0" xfId="836" applyNumberFormat="1" applyFont="1"/>
    <xf numFmtId="180" fontId="80" fillId="0" borderId="0" xfId="836" applyNumberFormat="1" applyFont="1"/>
    <xf numFmtId="180" fontId="80" fillId="0" borderId="0" xfId="836" applyNumberFormat="1" applyFont="1" applyAlignment="1">
      <alignment horizontal="left"/>
    </xf>
    <xf numFmtId="184" fontId="65" fillId="0" borderId="0" xfId="836" quotePrefix="1" applyNumberFormat="1" applyFont="1" applyAlignment="1">
      <alignment horizontal="center"/>
    </xf>
    <xf numFmtId="176" fontId="80" fillId="0" borderId="0" xfId="836" applyNumberFormat="1" applyFont="1"/>
    <xf numFmtId="173" fontId="65" fillId="0" borderId="0" xfId="836" applyNumberFormat="1" applyFont="1" applyProtection="1">
      <protection locked="0"/>
    </xf>
    <xf numFmtId="176" fontId="65" fillId="0" borderId="0" xfId="836" applyNumberFormat="1" applyFont="1" applyProtection="1">
      <protection locked="0"/>
    </xf>
    <xf numFmtId="176" fontId="65" fillId="0" borderId="0" xfId="836" applyNumberFormat="1" applyFont="1" applyAlignment="1" applyProtection="1">
      <alignment horizontal="right"/>
      <protection locked="0"/>
    </xf>
    <xf numFmtId="176" fontId="65" fillId="0" borderId="0" xfId="836" applyNumberFormat="1" applyFont="1" applyAlignment="1">
      <alignment horizontal="center"/>
    </xf>
    <xf numFmtId="0" fontId="47" fillId="0" borderId="0" xfId="9967" applyFont="1" applyAlignment="1">
      <alignment horizontal="center"/>
    </xf>
    <xf numFmtId="0" fontId="48" fillId="0" borderId="10" xfId="9967" applyFont="1" applyBorder="1" applyAlignment="1">
      <alignment horizontal="centerContinuous"/>
    </xf>
    <xf numFmtId="0" fontId="173" fillId="0" borderId="0" xfId="9967"/>
    <xf numFmtId="0" fontId="47" fillId="0" borderId="59" xfId="9967" applyFont="1" applyBorder="1"/>
    <xf numFmtId="0" fontId="48" fillId="0" borderId="0" xfId="9967" applyFont="1" applyAlignment="1">
      <alignment horizontal="centerContinuous" vertical="top"/>
    </xf>
    <xf numFmtId="0" fontId="48" fillId="0" borderId="0" xfId="9967" applyFont="1" applyAlignment="1">
      <alignment horizontal="centerContinuous"/>
    </xf>
    <xf numFmtId="0" fontId="47" fillId="0" borderId="13" xfId="9967" applyFont="1" applyBorder="1"/>
    <xf numFmtId="0" fontId="47" fillId="0" borderId="0" xfId="9967" applyFont="1"/>
    <xf numFmtId="185" fontId="48" fillId="0" borderId="10" xfId="9967"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40" quotePrefix="1" applyNumberFormat="1" applyFont="1" applyBorder="1" applyAlignment="1">
      <alignment horizontal="right"/>
    </xf>
    <xf numFmtId="39" fontId="49" fillId="0" borderId="0" xfId="0" applyNumberFormat="1" applyFont="1" applyAlignment="1">
      <alignment horizontal="center"/>
    </xf>
    <xf numFmtId="43" fontId="49" fillId="0" borderId="54" xfId="17924" applyFont="1" applyFill="1" applyBorder="1" applyAlignment="1" applyProtection="1">
      <alignment horizontal="right"/>
    </xf>
    <xf numFmtId="164" fontId="42" fillId="0" borderId="0" xfId="1767" applyNumberFormat="1" applyFont="1"/>
    <xf numFmtId="164" fontId="97" fillId="0" borderId="0" xfId="1767" applyNumberFormat="1"/>
    <xf numFmtId="7" fontId="49" fillId="0" borderId="0" xfId="1767" applyNumberFormat="1" applyFont="1" applyAlignment="1">
      <alignment horizontal="right"/>
    </xf>
    <xf numFmtId="4" fontId="101" fillId="0" borderId="0" xfId="0" applyNumberFormat="1" applyFont="1" applyAlignment="1">
      <alignment horizontal="left"/>
    </xf>
    <xf numFmtId="0" fontId="6" fillId="0" borderId="0" xfId="841" applyFont="1"/>
    <xf numFmtId="4" fontId="114" fillId="0" borderId="0" xfId="1028" applyNumberFormat="1" applyFont="1" applyAlignment="1">
      <alignment horizontal="right"/>
    </xf>
    <xf numFmtId="39" fontId="48" fillId="0" borderId="0" xfId="1028" applyNumberFormat="1" applyFont="1"/>
    <xf numFmtId="4" fontId="114" fillId="0" borderId="0" xfId="1028" applyNumberFormat="1" applyFont="1"/>
    <xf numFmtId="39" fontId="114" fillId="0" borderId="0" xfId="1028" applyNumberFormat="1" applyFont="1" applyAlignment="1">
      <alignment horizontal="right"/>
    </xf>
    <xf numFmtId="4" fontId="87" fillId="0" borderId="0" xfId="1028" applyNumberFormat="1" applyFont="1"/>
    <xf numFmtId="39" fontId="114" fillId="0" borderId="0" xfId="1028" applyNumberFormat="1" applyFont="1"/>
    <xf numFmtId="4" fontId="114" fillId="0" borderId="0" xfId="1028" quotePrefix="1" applyNumberFormat="1" applyFont="1" applyAlignment="1">
      <alignment horizontal="left"/>
    </xf>
    <xf numFmtId="39" fontId="114" fillId="0" borderId="0" xfId="1028" quotePrefix="1" applyNumberFormat="1" applyFont="1" applyAlignment="1">
      <alignment horizontal="left"/>
    </xf>
    <xf numFmtId="4" fontId="47" fillId="0" borderId="0" xfId="1028" applyNumberFormat="1" applyFont="1" applyAlignment="1">
      <alignment horizontal="right"/>
    </xf>
    <xf numFmtId="1" fontId="49" fillId="0" borderId="0" xfId="1028" applyNumberFormat="1" applyFont="1"/>
    <xf numFmtId="44" fontId="115" fillId="0" borderId="0" xfId="841" applyNumberFormat="1" applyFont="1"/>
    <xf numFmtId="39" fontId="42" fillId="0" borderId="0" xfId="1028" applyNumberFormat="1"/>
    <xf numFmtId="164" fontId="204" fillId="0" borderId="0" xfId="0" applyFont="1"/>
    <xf numFmtId="170" fontId="204" fillId="0" borderId="0" xfId="0" applyNumberFormat="1" applyFont="1" applyAlignment="1">
      <alignment horizontal="right"/>
    </xf>
    <xf numFmtId="170" fontId="204" fillId="0" borderId="0" xfId="2" applyNumberFormat="1" applyFont="1"/>
    <xf numFmtId="164" fontId="49" fillId="0" borderId="69" xfId="2" quotePrefix="1" applyNumberFormat="1" applyFont="1" applyBorder="1"/>
    <xf numFmtId="170" fontId="204" fillId="0" borderId="0" xfId="2" applyNumberFormat="1" applyFont="1" applyAlignment="1">
      <alignment horizontal="right"/>
    </xf>
    <xf numFmtId="165" fontId="153" fillId="0" borderId="0" xfId="2" applyNumberFormat="1" applyFont="1"/>
    <xf numFmtId="170" fontId="42" fillId="0" borderId="0" xfId="1773" applyNumberFormat="1" applyFont="1" applyFill="1" applyAlignment="1"/>
    <xf numFmtId="41" fontId="205" fillId="0" borderId="61" xfId="840" applyNumberFormat="1" applyFont="1" applyBorder="1"/>
    <xf numFmtId="0" fontId="210" fillId="0" borderId="0" xfId="2" applyFont="1"/>
    <xf numFmtId="165" fontId="204" fillId="0" borderId="0" xfId="0" applyNumberFormat="1" applyFont="1" applyAlignment="1">
      <alignment horizontal="left"/>
    </xf>
    <xf numFmtId="0" fontId="204" fillId="0" borderId="0" xfId="2" applyFont="1"/>
    <xf numFmtId="170" fontId="204" fillId="0" borderId="0" xfId="5517" applyNumberFormat="1" applyFont="1"/>
    <xf numFmtId="170" fontId="204" fillId="0" borderId="0" xfId="2" quotePrefix="1" applyNumberFormat="1" applyFont="1"/>
    <xf numFmtId="170" fontId="204" fillId="0" borderId="16" xfId="2" applyNumberFormat="1" applyFont="1" applyBorder="1"/>
    <xf numFmtId="165" fontId="204" fillId="0" borderId="0" xfId="2" applyNumberFormat="1" applyFont="1"/>
    <xf numFmtId="165" fontId="220" fillId="0" borderId="14" xfId="2" applyNumberFormat="1" applyFont="1" applyBorder="1"/>
    <xf numFmtId="165" fontId="206" fillId="0" borderId="0" xfId="2" applyNumberFormat="1" applyFont="1"/>
    <xf numFmtId="165" fontId="220" fillId="0" borderId="0" xfId="2" applyNumberFormat="1" applyFont="1"/>
    <xf numFmtId="170" fontId="204" fillId="0" borderId="0" xfId="5" applyNumberFormat="1" applyFont="1" applyFill="1" applyProtection="1"/>
    <xf numFmtId="170" fontId="204" fillId="0" borderId="0" xfId="0" applyNumberFormat="1" applyFont="1" applyAlignment="1" applyProtection="1">
      <alignment horizontal="right"/>
      <protection locked="0"/>
    </xf>
    <xf numFmtId="170" fontId="204" fillId="0" borderId="27" xfId="2" applyNumberFormat="1" applyFont="1" applyBorder="1"/>
    <xf numFmtId="166" fontId="49" fillId="0" borderId="74" xfId="2" applyNumberFormat="1" applyFont="1" applyBorder="1"/>
    <xf numFmtId="170" fontId="63" fillId="0" borderId="74" xfId="2" applyNumberFormat="1" applyFont="1" applyBorder="1"/>
    <xf numFmtId="164" fontId="42" fillId="0" borderId="0" xfId="0" applyFont="1" applyAlignment="1">
      <alignment horizontal="center"/>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49" fillId="0" borderId="45" xfId="2" applyFont="1" applyBorder="1" applyAlignment="1" applyProtection="1">
      <alignment horizontal="center"/>
      <protection locked="0"/>
    </xf>
    <xf numFmtId="166" fontId="49" fillId="0" borderId="45" xfId="2" applyNumberFormat="1" applyFont="1" applyBorder="1" applyAlignment="1">
      <alignment horizontal="center"/>
    </xf>
    <xf numFmtId="0" fontId="49" fillId="0" borderId="45" xfId="2" quotePrefix="1" applyFont="1" applyBorder="1" applyAlignment="1">
      <alignment horizontal="center"/>
    </xf>
    <xf numFmtId="0" fontId="86" fillId="0" borderId="0" xfId="4"/>
    <xf numFmtId="0" fontId="49" fillId="0" borderId="45" xfId="4" quotePrefix="1" applyFont="1" applyBorder="1" applyAlignment="1">
      <alignment horizontal="center"/>
    </xf>
    <xf numFmtId="0" fontId="0" fillId="0" borderId="45" xfId="2" applyFont="1" applyBorder="1"/>
    <xf numFmtId="180" fontId="47" fillId="0" borderId="0" xfId="1776" applyNumberFormat="1" applyFont="1" applyAlignment="1">
      <alignment horizontal="left" vertical="top" wrapText="1"/>
    </xf>
    <xf numFmtId="3" fontId="204" fillId="0" borderId="0" xfId="2" applyNumberFormat="1" applyFont="1"/>
    <xf numFmtId="166" fontId="204" fillId="0" borderId="0" xfId="2" applyNumberFormat="1" applyFont="1"/>
    <xf numFmtId="166" fontId="42" fillId="0" borderId="27" xfId="2" applyNumberFormat="1" applyBorder="1" applyAlignment="1">
      <alignment horizontal="center"/>
    </xf>
    <xf numFmtId="166" fontId="42" fillId="0" borderId="27" xfId="2" applyNumberFormat="1" applyBorder="1"/>
    <xf numFmtId="170" fontId="63" fillId="0" borderId="75" xfId="2" applyNumberFormat="1" applyFont="1" applyBorder="1"/>
    <xf numFmtId="170" fontId="62" fillId="0" borderId="75" xfId="2" applyNumberFormat="1" applyFont="1" applyBorder="1"/>
    <xf numFmtId="170" fontId="42" fillId="0" borderId="76" xfId="2" quotePrefix="1" applyNumberFormat="1" applyBorder="1"/>
    <xf numFmtId="170" fontId="42" fillId="0" borderId="76" xfId="2" applyNumberFormat="1" applyBorder="1"/>
    <xf numFmtId="170" fontId="42" fillId="0" borderId="76" xfId="2" applyNumberFormat="1" applyBorder="1" applyAlignment="1">
      <alignment horizontal="right"/>
    </xf>
    <xf numFmtId="170" fontId="49" fillId="0" borderId="76" xfId="2" applyNumberFormat="1" applyFont="1" applyBorder="1"/>
    <xf numFmtId="165" fontId="42" fillId="0" borderId="76" xfId="2" applyNumberFormat="1" applyBorder="1"/>
    <xf numFmtId="174" fontId="49" fillId="0" borderId="76" xfId="4" applyNumberFormat="1" applyFont="1" applyBorder="1"/>
    <xf numFmtId="0" fontId="42" fillId="0" borderId="76" xfId="4" applyFont="1" applyBorder="1"/>
    <xf numFmtId="166" fontId="42" fillId="0" borderId="76" xfId="4" applyNumberFormat="1" applyFont="1" applyBorder="1"/>
    <xf numFmtId="170" fontId="42" fillId="0" borderId="76" xfId="4" applyNumberFormat="1" applyFont="1" applyBorder="1"/>
    <xf numFmtId="170" fontId="49" fillId="0" borderId="76" xfId="4" applyNumberFormat="1" applyFont="1" applyBorder="1"/>
    <xf numFmtId="174" fontId="49" fillId="0" borderId="76" xfId="2" applyNumberFormat="1" applyFont="1" applyBorder="1"/>
    <xf numFmtId="166" fontId="42" fillId="0" borderId="76" xfId="2" applyNumberFormat="1" applyBorder="1"/>
    <xf numFmtId="170" fontId="42" fillId="0" borderId="76" xfId="2" applyNumberFormat="1" applyBorder="1" applyAlignment="1">
      <alignment horizontal="center"/>
    </xf>
    <xf numFmtId="170" fontId="49" fillId="0" borderId="76" xfId="6" applyNumberFormat="1" applyFont="1" applyFill="1" applyBorder="1" applyAlignment="1" applyProtection="1"/>
    <xf numFmtId="49" fontId="49" fillId="0" borderId="29" xfId="176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76" applyNumberFormat="1" applyFont="1" applyBorder="1" applyAlignment="1">
      <alignment horizontal="center"/>
    </xf>
    <xf numFmtId="43" fontId="42" fillId="0" borderId="45" xfId="1776" applyNumberFormat="1" applyBorder="1" applyAlignment="1">
      <alignment horizontal="right"/>
    </xf>
    <xf numFmtId="43" fontId="49" fillId="0" borderId="45" xfId="1776" applyNumberFormat="1" applyFont="1" applyBorder="1"/>
    <xf numFmtId="44" fontId="49" fillId="0" borderId="51" xfId="1776" applyNumberFormat="1" applyFont="1" applyBorder="1"/>
    <xf numFmtId="43" fontId="42" fillId="0" borderId="45" xfId="1776" applyNumberFormat="1" applyBorder="1"/>
    <xf numFmtId="43" fontId="49" fillId="0" borderId="45" xfId="1776" applyNumberFormat="1" applyFont="1" applyBorder="1" applyAlignment="1">
      <alignment horizontal="right"/>
    </xf>
    <xf numFmtId="44" fontId="49" fillId="0" borderId="51" xfId="1776" applyNumberFormat="1" applyFont="1" applyBorder="1" applyAlignment="1">
      <alignment horizontal="right"/>
    </xf>
    <xf numFmtId="41" fontId="42" fillId="0" borderId="45" xfId="840" applyNumberFormat="1" applyFont="1" applyBorder="1"/>
    <xf numFmtId="41" fontId="42" fillId="0" borderId="61" xfId="840" applyNumberFormat="1" applyFont="1" applyBorder="1"/>
    <xf numFmtId="0" fontId="42" fillId="0" borderId="45" xfId="17" applyNumberFormat="1" applyBorder="1" applyAlignment="1">
      <alignment horizontal="center"/>
    </xf>
    <xf numFmtId="44" fontId="42" fillId="0" borderId="0" xfId="49694" applyFont="1" applyFill="1" applyBorder="1"/>
    <xf numFmtId="44" fontId="49" fillId="0" borderId="0" xfId="49694" applyFont="1" applyFill="1" applyBorder="1"/>
    <xf numFmtId="43" fontId="42" fillId="0" borderId="0" xfId="49695" applyFont="1" applyFill="1" applyBorder="1"/>
    <xf numFmtId="43" fontId="159" fillId="0" borderId="0" xfId="740" applyNumberFormat="1" applyFont="1"/>
    <xf numFmtId="43" fontId="160" fillId="0" borderId="0" xfId="740" applyNumberFormat="1" applyFont="1" applyAlignment="1">
      <alignment horizontal="center"/>
    </xf>
    <xf numFmtId="43" fontId="160" fillId="0" borderId="0" xfId="740" quotePrefix="1" applyNumberFormat="1" applyFont="1" applyAlignment="1">
      <alignment horizontal="center"/>
    </xf>
    <xf numFmtId="43" fontId="159" fillId="0" borderId="0" xfId="740" applyNumberFormat="1" applyFont="1" applyAlignment="1">
      <alignment horizontal="left"/>
    </xf>
    <xf numFmtId="43" fontId="159" fillId="0" borderId="0" xfId="740" quotePrefix="1" applyNumberFormat="1" applyFont="1" applyAlignment="1">
      <alignment horizontal="center"/>
    </xf>
    <xf numFmtId="43" fontId="159" fillId="0" borderId="0" xfId="740" applyNumberFormat="1" applyFont="1" applyAlignment="1">
      <alignment horizontal="center"/>
    </xf>
    <xf numFmtId="43" fontId="160" fillId="0" borderId="0" xfId="740" applyNumberFormat="1" applyFont="1" applyAlignment="1">
      <alignment horizontal="right"/>
    </xf>
    <xf numFmtId="43" fontId="159" fillId="0" borderId="0" xfId="740" applyNumberFormat="1" applyFont="1" applyAlignment="1">
      <alignment horizontal="right"/>
    </xf>
    <xf numFmtId="181" fontId="208" fillId="0" borderId="0" xfId="0" applyNumberFormat="1" applyFont="1"/>
    <xf numFmtId="200" fontId="48" fillId="0" borderId="0" xfId="2" applyNumberFormat="1" applyFont="1"/>
    <xf numFmtId="200" fontId="222" fillId="0" borderId="0" xfId="2" applyNumberFormat="1" applyFont="1"/>
    <xf numFmtId="168" fontId="42" fillId="0" borderId="0" xfId="2" quotePrefix="1" applyNumberFormat="1"/>
    <xf numFmtId="44" fontId="110" fillId="0" borderId="54" xfId="1047" applyFont="1" applyBorder="1"/>
    <xf numFmtId="164" fontId="110" fillId="0" borderId="45" xfId="0" applyFont="1" applyBorder="1" applyAlignment="1">
      <alignment horizontal="center" wrapText="1"/>
    </xf>
    <xf numFmtId="43" fontId="48" fillId="0" borderId="0" xfId="9967" quotePrefix="1" applyNumberFormat="1" applyFont="1" applyAlignment="1">
      <alignment horizontal="center"/>
    </xf>
    <xf numFmtId="42" fontId="48" fillId="0" borderId="0" xfId="0" applyNumberFormat="1" applyFont="1" applyAlignment="1">
      <alignment horizontal="right"/>
    </xf>
    <xf numFmtId="165" fontId="47" fillId="0" borderId="0" xfId="2" applyNumberFormat="1" applyFont="1" applyAlignment="1">
      <alignment horizontal="centerContinuous"/>
    </xf>
    <xf numFmtId="170" fontId="67" fillId="0" borderId="0" xfId="2" applyNumberFormat="1" applyFont="1" applyAlignment="1">
      <alignment horizontal="right"/>
    </xf>
    <xf numFmtId="43" fontId="42" fillId="0" borderId="0" xfId="17924" applyFont="1" applyFill="1" applyAlignment="1" applyProtection="1">
      <alignment horizontal="center"/>
    </xf>
    <xf numFmtId="166" fontId="54" fillId="0" borderId="0" xfId="8" applyNumberFormat="1" applyFont="1"/>
    <xf numFmtId="189" fontId="2" fillId="0" borderId="64" xfId="11" applyNumberFormat="1" applyFont="1" applyFill="1" applyBorder="1" applyAlignment="1"/>
    <xf numFmtId="0" fontId="176" fillId="0" borderId="0" xfId="25862"/>
    <xf numFmtId="0" fontId="40" fillId="0" borderId="0" xfId="25862" applyFont="1" applyAlignment="1">
      <alignment horizontal="left"/>
    </xf>
    <xf numFmtId="43" fontId="176" fillId="0" borderId="0" xfId="25862" applyNumberFormat="1"/>
    <xf numFmtId="0" fontId="177" fillId="0" borderId="0" xfId="25862" applyFont="1" applyAlignment="1">
      <alignment horizontal="left"/>
    </xf>
    <xf numFmtId="0" fontId="70" fillId="0" borderId="0" xfId="25862" quotePrefix="1" applyFont="1" applyAlignment="1">
      <alignment horizontal="left"/>
    </xf>
    <xf numFmtId="0" fontId="43" fillId="0" borderId="0" xfId="25862" quotePrefix="1" applyFont="1" applyAlignment="1">
      <alignment horizontal="left"/>
    </xf>
    <xf numFmtId="0" fontId="147" fillId="0" borderId="0" xfId="25862" applyFont="1" applyAlignment="1">
      <alignment horizontal="left"/>
    </xf>
    <xf numFmtId="0" fontId="42" fillId="0" borderId="0" xfId="25862" applyFont="1"/>
    <xf numFmtId="0" fontId="182" fillId="0" borderId="0" xfId="25862" applyFont="1" applyAlignment="1">
      <alignment horizontal="center"/>
    </xf>
    <xf numFmtId="0" fontId="47" fillId="0" borderId="0" xfId="25862" applyFont="1"/>
    <xf numFmtId="0" fontId="42" fillId="0" borderId="0" xfId="25863" applyFont="1" applyBorder="1">
      <alignment horizontal="right"/>
    </xf>
    <xf numFmtId="0" fontId="0" fillId="0" borderId="0" xfId="25863" applyFont="1" applyBorder="1">
      <alignment horizontal="right"/>
    </xf>
    <xf numFmtId="0" fontId="53" fillId="0" borderId="0" xfId="25865" applyFont="1" applyBorder="1" applyAlignment="1">
      <alignment horizontal="left"/>
    </xf>
    <xf numFmtId="0" fontId="42" fillId="0" borderId="0" xfId="25865" applyFont="1"/>
    <xf numFmtId="0" fontId="0" fillId="0" borderId="0" xfId="25865" applyFont="1"/>
    <xf numFmtId="0" fontId="42" fillId="0" borderId="0" xfId="25865" applyFont="1" applyBorder="1" applyAlignment="1">
      <alignment horizontal="left"/>
    </xf>
    <xf numFmtId="0" fontId="159" fillId="0" borderId="0" xfId="25865" applyFont="1"/>
    <xf numFmtId="0" fontId="161" fillId="0" borderId="0" xfId="25871" applyFont="1" applyAlignment="1">
      <alignment horizontal="left" wrapText="1"/>
    </xf>
    <xf numFmtId="0" fontId="147" fillId="0" borderId="0" xfId="25871" applyFont="1"/>
    <xf numFmtId="0" fontId="110" fillId="0" borderId="0" xfId="25862" applyFont="1" applyAlignment="1">
      <alignment horizontal="left"/>
    </xf>
    <xf numFmtId="0" fontId="188" fillId="0" borderId="0" xfId="25862" applyFont="1" applyAlignment="1">
      <alignment horizontal="left" vertical="top"/>
    </xf>
    <xf numFmtId="0" fontId="161" fillId="0" borderId="0" xfId="25862" applyFont="1" applyAlignment="1">
      <alignment horizontal="left" vertical="top"/>
    </xf>
    <xf numFmtId="0" fontId="179" fillId="0" borderId="0" xfId="25862" quotePrefix="1" applyFont="1" applyAlignment="1">
      <alignment horizontal="left"/>
    </xf>
    <xf numFmtId="0" fontId="53" fillId="0" borderId="0" xfId="25862" applyFont="1" applyAlignment="1">
      <alignment horizontal="left"/>
    </xf>
    <xf numFmtId="0" fontId="185" fillId="0" borderId="0" xfId="25862" applyFont="1" applyAlignment="1">
      <alignment horizontal="center"/>
    </xf>
    <xf numFmtId="0" fontId="184" fillId="0" borderId="0" xfId="25862" applyFont="1"/>
    <xf numFmtId="0" fontId="161" fillId="0" borderId="0" xfId="25862" applyFont="1" applyAlignment="1">
      <alignment horizontal="left"/>
    </xf>
    <xf numFmtId="0" fontId="161" fillId="0" borderId="0" xfId="25862"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76"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8" fillId="0" borderId="0" xfId="0" applyNumberFormat="1" applyFont="1"/>
    <xf numFmtId="0" fontId="49" fillId="0" borderId="0" xfId="0" quotePrefix="1" applyNumberFormat="1" applyFont="1" applyAlignment="1">
      <alignment horizontal="left"/>
    </xf>
    <xf numFmtId="37" fontId="49" fillId="0" borderId="0" xfId="2" quotePrefix="1" applyNumberFormat="1" applyFont="1"/>
    <xf numFmtId="170" fontId="42" fillId="0" borderId="19" xfId="0" applyNumberFormat="1" applyFont="1" applyBorder="1" applyAlignment="1">
      <alignment horizontal="right"/>
    </xf>
    <xf numFmtId="169" fontId="42" fillId="0" borderId="0" xfId="8" applyNumberFormat="1" applyFont="1"/>
    <xf numFmtId="43" fontId="204" fillId="0" borderId="0" xfId="0" applyNumberFormat="1" applyFont="1"/>
    <xf numFmtId="43" fontId="204" fillId="0" borderId="45" xfId="0" applyNumberFormat="1" applyFont="1" applyBorder="1" applyAlignment="1">
      <alignment horizontal="right"/>
    </xf>
    <xf numFmtId="44" fontId="49" fillId="0" borderId="0" xfId="1776" applyNumberFormat="1" applyFont="1" applyAlignment="1">
      <alignment horizontal="right"/>
    </xf>
    <xf numFmtId="0" fontId="85" fillId="0" borderId="0" xfId="841" applyFont="1" applyAlignment="1">
      <alignment horizontal="right"/>
    </xf>
    <xf numFmtId="0" fontId="83" fillId="0" borderId="0" xfId="1028" applyFont="1" applyAlignment="1">
      <alignment horizontal="right"/>
    </xf>
    <xf numFmtId="39" fontId="204" fillId="0" borderId="0" xfId="0" applyNumberFormat="1" applyFont="1"/>
    <xf numFmtId="39" fontId="204" fillId="0" borderId="76" xfId="0" applyNumberFormat="1" applyFont="1" applyBorder="1" applyAlignment="1">
      <alignment horizontal="right"/>
    </xf>
    <xf numFmtId="39" fontId="204" fillId="0" borderId="0" xfId="0" applyNumberFormat="1" applyFont="1" applyAlignment="1">
      <alignment horizontal="right"/>
    </xf>
    <xf numFmtId="43" fontId="42" fillId="0" borderId="76" xfId="1776" applyNumberFormat="1" applyBorder="1"/>
    <xf numFmtId="0" fontId="69" fillId="0" borderId="0" xfId="2" applyFont="1" applyAlignment="1">
      <alignment horizontal="left"/>
    </xf>
    <xf numFmtId="0" fontId="47" fillId="0" borderId="0" xfId="2" applyFont="1" applyAlignment="1">
      <alignment horizontal="left"/>
    </xf>
    <xf numFmtId="170" fontId="204"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5"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4" fillId="0" borderId="0" xfId="0" applyNumberFormat="1" applyFont="1"/>
    <xf numFmtId="165" fontId="210" fillId="0" borderId="0" xfId="0" applyNumberFormat="1" applyFont="1"/>
    <xf numFmtId="165" fontId="211" fillId="0" borderId="0" xfId="0" applyNumberFormat="1" applyFont="1"/>
    <xf numFmtId="165" fontId="45" fillId="0" borderId="0" xfId="0" applyNumberFormat="1" applyFont="1"/>
    <xf numFmtId="39" fontId="212" fillId="0" borderId="0" xfId="0" applyNumberFormat="1" applyFont="1" applyAlignment="1">
      <alignment horizontal="left"/>
    </xf>
    <xf numFmtId="164" fontId="204" fillId="0" borderId="0" xfId="0" applyFont="1" applyAlignment="1">
      <alignment horizontal="left"/>
    </xf>
    <xf numFmtId="166" fontId="212" fillId="0" borderId="0" xfId="0" applyNumberFormat="1" applyFont="1" applyAlignment="1">
      <alignment horizontal="right"/>
    </xf>
    <xf numFmtId="166" fontId="206" fillId="0" borderId="0" xfId="0" applyNumberFormat="1" applyFont="1"/>
    <xf numFmtId="166" fontId="214" fillId="0" borderId="0" xfId="0" applyNumberFormat="1" applyFont="1"/>
    <xf numFmtId="166" fontId="205" fillId="0" borderId="0" xfId="0" applyNumberFormat="1" applyFont="1" applyAlignment="1">
      <alignment horizontal="right"/>
    </xf>
    <xf numFmtId="166" fontId="205" fillId="0" borderId="0" xfId="0" quotePrefix="1" applyNumberFormat="1" applyFont="1" applyAlignment="1">
      <alignment horizontal="right"/>
    </xf>
    <xf numFmtId="166" fontId="205" fillId="0" borderId="0" xfId="0" applyNumberFormat="1" applyFont="1" applyAlignment="1">
      <alignment horizontal="center"/>
    </xf>
    <xf numFmtId="166" fontId="205" fillId="0" borderId="0" xfId="0" applyNumberFormat="1" applyFont="1"/>
    <xf numFmtId="166" fontId="204" fillId="0" borderId="0" xfId="0" applyNumberFormat="1" applyFont="1"/>
    <xf numFmtId="166" fontId="205" fillId="0" borderId="45" xfId="0" applyNumberFormat="1" applyFont="1" applyBorder="1" applyAlignment="1">
      <alignment horizontal="centerContinuous"/>
    </xf>
    <xf numFmtId="166" fontId="205" fillId="0" borderId="0" xfId="0" quotePrefix="1" applyNumberFormat="1" applyFont="1" applyAlignment="1">
      <alignment horizontal="center"/>
    </xf>
    <xf numFmtId="166" fontId="204" fillId="0" borderId="0" xfId="0" applyNumberFormat="1" applyFont="1" applyAlignment="1">
      <alignment horizontal="center"/>
    </xf>
    <xf numFmtId="166" fontId="205" fillId="0" borderId="45" xfId="0" quotePrefix="1" applyNumberFormat="1" applyFont="1" applyBorder="1" applyAlignment="1">
      <alignment horizontal="center"/>
    </xf>
    <xf numFmtId="166" fontId="205" fillId="0" borderId="45" xfId="0" applyNumberFormat="1" applyFont="1" applyBorder="1" applyAlignment="1">
      <alignment horizontal="center"/>
    </xf>
    <xf numFmtId="166" fontId="204" fillId="0" borderId="74" xfId="0" applyNumberFormat="1" applyFont="1" applyBorder="1"/>
    <xf numFmtId="166" fontId="204" fillId="0" borderId="49" xfId="0" applyNumberFormat="1" applyFont="1" applyBorder="1"/>
    <xf numFmtId="166" fontId="204" fillId="0" borderId="14" xfId="0" applyNumberFormat="1" applyFont="1" applyBorder="1"/>
    <xf numFmtId="37" fontId="204" fillId="0" borderId="0" xfId="0" quotePrefix="1" applyNumberFormat="1" applyFont="1" applyAlignment="1">
      <alignment horizontal="left"/>
    </xf>
    <xf numFmtId="174" fontId="204" fillId="0" borderId="0" xfId="0" applyNumberFormat="1" applyFont="1"/>
    <xf numFmtId="167" fontId="204" fillId="0" borderId="0" xfId="0" applyNumberFormat="1" applyFont="1"/>
    <xf numFmtId="167" fontId="204" fillId="0" borderId="0" xfId="0" applyNumberFormat="1" applyFont="1" applyAlignment="1">
      <alignment horizontal="center"/>
    </xf>
    <xf numFmtId="174" fontId="204" fillId="0" borderId="0" xfId="0" applyNumberFormat="1" applyFont="1" applyAlignment="1">
      <alignment horizontal="right"/>
    </xf>
    <xf numFmtId="174" fontId="204" fillId="0" borderId="0" xfId="0" quotePrefix="1" applyNumberFormat="1" applyFont="1" applyAlignment="1">
      <alignment horizontal="left"/>
    </xf>
    <xf numFmtId="174" fontId="204" fillId="0" borderId="74" xfId="0" applyNumberFormat="1" applyFont="1" applyBorder="1"/>
    <xf numFmtId="167" fontId="204" fillId="0" borderId="74" xfId="0" applyNumberFormat="1" applyFont="1" applyBorder="1"/>
    <xf numFmtId="167" fontId="204" fillId="0" borderId="49" xfId="0" applyNumberFormat="1" applyFont="1" applyBorder="1"/>
    <xf numFmtId="167" fontId="204" fillId="0" borderId="14" xfId="0" applyNumberFormat="1" applyFont="1" applyBorder="1"/>
    <xf numFmtId="168" fontId="210" fillId="0" borderId="0" xfId="0" applyNumberFormat="1" applyFont="1"/>
    <xf numFmtId="37" fontId="204" fillId="0" borderId="0" xfId="0" applyNumberFormat="1" applyFont="1" applyAlignment="1">
      <alignment horizontal="left"/>
    </xf>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04" fillId="0" borderId="0" xfId="0" quotePrefix="1" applyNumberFormat="1" applyFont="1" applyAlignment="1">
      <alignment horizontal="left"/>
    </xf>
    <xf numFmtId="170" fontId="205" fillId="0" borderId="61" xfId="0" applyNumberFormat="1" applyFont="1" applyBorder="1" applyAlignment="1">
      <alignment horizontal="right"/>
    </xf>
    <xf numFmtId="170" fontId="205" fillId="0" borderId="0" xfId="0" applyNumberFormat="1" applyFont="1" applyAlignment="1">
      <alignment horizontal="right"/>
    </xf>
    <xf numFmtId="170" fontId="205" fillId="0" borderId="0" xfId="0" applyNumberFormat="1" applyFont="1"/>
    <xf numFmtId="170" fontId="205" fillId="0" borderId="61" xfId="0" applyNumberFormat="1" applyFont="1" applyBorder="1"/>
    <xf numFmtId="170" fontId="205" fillId="0" borderId="74" xfId="0" applyNumberFormat="1" applyFont="1" applyBorder="1"/>
    <xf numFmtId="170" fontId="205" fillId="0" borderId="49" xfId="0" applyNumberFormat="1" applyFont="1" applyBorder="1"/>
    <xf numFmtId="170" fontId="205" fillId="0" borderId="14" xfId="0" applyNumberFormat="1" applyFont="1" applyBorder="1"/>
    <xf numFmtId="165" fontId="215" fillId="0" borderId="0" xfId="0" applyNumberFormat="1" applyFont="1"/>
    <xf numFmtId="164" fontId="205" fillId="0" borderId="61" xfId="0" applyFont="1" applyBorder="1"/>
    <xf numFmtId="170" fontId="204" fillId="0" borderId="0" xfId="0" applyNumberFormat="1" applyFont="1" applyAlignment="1">
      <alignment horizontal="center"/>
    </xf>
    <xf numFmtId="170" fontId="204" fillId="0" borderId="0" xfId="0" quotePrefix="1" applyNumberFormat="1" applyFont="1" applyAlignment="1">
      <alignment horizontal="center"/>
    </xf>
    <xf numFmtId="166" fontId="204" fillId="0" borderId="0" xfId="0" quotePrefix="1" applyNumberFormat="1" applyFont="1" applyAlignment="1">
      <alignment horizontal="center"/>
    </xf>
    <xf numFmtId="3" fontId="204" fillId="0" borderId="0" xfId="0" applyNumberFormat="1" applyFont="1"/>
    <xf numFmtId="170" fontId="204" fillId="0" borderId="0" xfId="0" quotePrefix="1" applyNumberFormat="1" applyFont="1"/>
    <xf numFmtId="170" fontId="204" fillId="0" borderId="14" xfId="0" quotePrefix="1" applyNumberFormat="1" applyFont="1" applyBorder="1" applyAlignment="1">
      <alignment horizontal="right"/>
    </xf>
    <xf numFmtId="166" fontId="204" fillId="0" borderId="0" xfId="0" quotePrefix="1" applyNumberFormat="1" applyFont="1" applyAlignment="1">
      <alignment horizontal="left"/>
    </xf>
    <xf numFmtId="172" fontId="204" fillId="0" borderId="0" xfId="0" applyNumberFormat="1" applyFont="1"/>
    <xf numFmtId="166" fontId="204" fillId="0" borderId="0" xfId="0" quotePrefix="1" applyNumberFormat="1" applyFont="1"/>
    <xf numFmtId="3" fontId="204" fillId="0" borderId="0" xfId="0" applyNumberFormat="1" applyFont="1" applyAlignment="1">
      <alignment horizontal="left"/>
    </xf>
    <xf numFmtId="173" fontId="42" fillId="0" borderId="0" xfId="0" applyNumberFormat="1" applyFont="1"/>
    <xf numFmtId="170" fontId="204" fillId="0" borderId="45" xfId="0" applyNumberFormat="1" applyFont="1" applyBorder="1"/>
    <xf numFmtId="170" fontId="205" fillId="0" borderId="45" xfId="0" applyNumberFormat="1" applyFont="1" applyBorder="1"/>
    <xf numFmtId="170" fontId="205" fillId="0" borderId="45" xfId="0" applyNumberFormat="1" applyFont="1" applyBorder="1" applyAlignment="1">
      <alignment horizontal="right"/>
    </xf>
    <xf numFmtId="172" fontId="205" fillId="0" borderId="45" xfId="0" applyNumberFormat="1" applyFont="1" applyBorder="1"/>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14" xfId="0" applyNumberFormat="1" applyFont="1" applyBorder="1" applyAlignment="1">
      <alignment horizontal="center"/>
    </xf>
    <xf numFmtId="164" fontId="204" fillId="0" borderId="45" xfId="0" applyFont="1" applyBorder="1"/>
    <xf numFmtId="170" fontId="205" fillId="0" borderId="61" xfId="0" quotePrefix="1" applyNumberFormat="1" applyFont="1" applyBorder="1" applyAlignment="1">
      <alignment horizontal="right"/>
    </xf>
    <xf numFmtId="170" fontId="160" fillId="0" borderId="74" xfId="0" applyNumberFormat="1" applyFont="1" applyBorder="1"/>
    <xf numFmtId="170" fontId="160" fillId="0" borderId="49" xfId="0" applyNumberFormat="1" applyFont="1" applyBorder="1"/>
    <xf numFmtId="170" fontId="160" fillId="0" borderId="0" xfId="0" applyNumberFormat="1" applyFont="1"/>
    <xf numFmtId="170" fontId="205" fillId="0" borderId="0" xfId="0" quotePrefix="1" applyNumberFormat="1" applyFont="1" applyAlignment="1">
      <alignment horizontal="right"/>
    </xf>
    <xf numFmtId="173" fontId="204" fillId="0" borderId="0" xfId="0" applyNumberFormat="1" applyFont="1"/>
    <xf numFmtId="170" fontId="160" fillId="0" borderId="14" xfId="0" applyNumberFormat="1" applyFont="1" applyBorder="1"/>
    <xf numFmtId="172" fontId="205" fillId="0" borderId="0" xfId="0" applyNumberFormat="1" applyFont="1"/>
    <xf numFmtId="170" fontId="159" fillId="0" borderId="14" xfId="0" applyNumberFormat="1" applyFont="1" applyBorder="1"/>
    <xf numFmtId="166" fontId="205" fillId="0" borderId="0" xfId="0" applyNumberFormat="1" applyFont="1" applyAlignment="1">
      <alignment horizontal="left"/>
    </xf>
    <xf numFmtId="164" fontId="205" fillId="0" borderId="45" xfId="0" applyFont="1" applyBorder="1"/>
    <xf numFmtId="174" fontId="205" fillId="0" borderId="51" xfId="0" applyNumberFormat="1" applyFont="1" applyBorder="1"/>
    <xf numFmtId="174" fontId="205" fillId="0" borderId="0" xfId="0" applyNumberFormat="1" applyFont="1"/>
    <xf numFmtId="174" fontId="205" fillId="0" borderId="74" xfId="0" applyNumberFormat="1" applyFont="1" applyBorder="1"/>
    <xf numFmtId="174" fontId="160" fillId="0" borderId="74" xfId="0" applyNumberFormat="1" applyFont="1" applyBorder="1"/>
    <xf numFmtId="174" fontId="160" fillId="0" borderId="49" xfId="0" applyNumberFormat="1" applyFont="1" applyBorder="1"/>
    <xf numFmtId="174" fontId="160" fillId="0" borderId="0" xfId="0" applyNumberFormat="1" applyFont="1"/>
    <xf numFmtId="174" fontId="160" fillId="0" borderId="14" xfId="0" applyNumberFormat="1" applyFont="1" applyBorder="1"/>
    <xf numFmtId="164" fontId="205"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5" fillId="0" borderId="0" xfId="0" applyNumberFormat="1" applyFont="1"/>
    <xf numFmtId="166" fontId="210" fillId="0" borderId="0" xfId="0" applyNumberFormat="1" applyFont="1"/>
    <xf numFmtId="165" fontId="217" fillId="0" borderId="0" xfId="0" applyNumberFormat="1" applyFont="1"/>
    <xf numFmtId="165" fontId="205" fillId="0" borderId="0" xfId="0" applyNumberFormat="1" applyFont="1"/>
    <xf numFmtId="165" fontId="206" fillId="0" borderId="0" xfId="0" applyNumberFormat="1" applyFont="1"/>
    <xf numFmtId="166" fontId="218" fillId="0" borderId="0" xfId="0" quotePrefix="1" applyNumberFormat="1" applyFont="1" applyAlignment="1">
      <alignment horizontal="left"/>
    </xf>
    <xf numFmtId="166" fontId="218" fillId="0" borderId="0" xfId="0" applyNumberFormat="1" applyFont="1" applyAlignment="1">
      <alignment horizontal="left"/>
    </xf>
    <xf numFmtId="165" fontId="218" fillId="0" borderId="0" xfId="0" applyNumberFormat="1" applyFont="1"/>
    <xf numFmtId="165" fontId="219" fillId="0" borderId="0" xfId="0" applyNumberFormat="1" applyFont="1"/>
    <xf numFmtId="165" fontId="142"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3"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7"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0" fillId="0" borderId="0" xfId="0" applyNumberFormat="1"/>
    <xf numFmtId="174" fontId="42" fillId="0" borderId="0" xfId="0" applyNumberFormat="1" applyFont="1" applyAlignment="1">
      <alignment horizontal="right"/>
    </xf>
    <xf numFmtId="174" fontId="42" fillId="0" borderId="19" xfId="0" applyNumberFormat="1" applyFont="1" applyBorder="1"/>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0" fillId="0" borderId="0" xfId="0" applyNumberFormat="1" applyAlignment="1">
      <alignment horizontal="right"/>
    </xf>
    <xf numFmtId="170" fontId="42" fillId="0" borderId="19" xfId="0" applyNumberFormat="1" applyFont="1" applyBorder="1"/>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19" xfId="0" applyNumberFormat="1" applyFont="1" applyBorder="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19" xfId="0" applyNumberFormat="1" applyFont="1" applyBorder="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19" xfId="0" applyNumberFormat="1" applyFont="1" applyBorder="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19" xfId="0" applyNumberFormat="1" applyFont="1" applyBorder="1"/>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51" xfId="0" applyNumberFormat="1" applyFont="1" applyBorder="1"/>
    <xf numFmtId="174" fontId="62" fillId="0" borderId="19" xfId="0" applyNumberFormat="1" applyFont="1" applyBorder="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6" fontId="142" fillId="0" borderId="0" xfId="0" applyNumberFormat="1" applyFont="1"/>
    <xf numFmtId="166" fontId="64"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44" fillId="0" borderId="0" xfId="0" applyNumberFormat="1" applyFont="1"/>
    <xf numFmtId="165" fontId="129" fillId="0" borderId="0" xfId="0" applyNumberFormat="1" applyFont="1"/>
    <xf numFmtId="165" fontId="224" fillId="0" borderId="0" xfId="0" applyNumberFormat="1" applyFont="1"/>
    <xf numFmtId="165" fontId="47" fillId="0" borderId="0" xfId="0" applyNumberFormat="1" applyFont="1"/>
    <xf numFmtId="0" fontId="208" fillId="0" borderId="0" xfId="860" applyFont="1"/>
    <xf numFmtId="0" fontId="159" fillId="0" borderId="0" xfId="8" applyFont="1" applyAlignment="1">
      <alignment horizontal="right"/>
    </xf>
    <xf numFmtId="192" fontId="209" fillId="0" borderId="0" xfId="17924" applyNumberFormat="1" applyFont="1"/>
    <xf numFmtId="192" fontId="225" fillId="0" borderId="0" xfId="17924" applyNumberFormat="1" applyFont="1"/>
    <xf numFmtId="165" fontId="159" fillId="0" borderId="0" xfId="2" applyNumberFormat="1" applyFont="1" applyProtection="1">
      <protection locked="0"/>
    </xf>
    <xf numFmtId="192" fontId="159" fillId="0" borderId="0" xfId="17924" applyNumberFormat="1" applyFont="1" applyProtection="1">
      <protection locked="0"/>
    </xf>
    <xf numFmtId="168" fontId="159" fillId="0" borderId="0" xfId="2" applyNumberFormat="1" applyFont="1" applyProtection="1">
      <protection locked="0"/>
    </xf>
    <xf numFmtId="165" fontId="160" fillId="0" borderId="0" xfId="2" applyNumberFormat="1" applyFont="1" applyProtection="1">
      <protection locked="0"/>
    </xf>
    <xf numFmtId="192" fontId="159" fillId="0" borderId="0" xfId="17924" applyNumberFormat="1" applyFont="1"/>
    <xf numFmtId="192" fontId="160" fillId="0" borderId="0" xfId="17924" applyNumberFormat="1" applyFont="1" applyProtection="1">
      <protection locked="0"/>
    </xf>
    <xf numFmtId="166" fontId="63" fillId="0" borderId="49" xfId="0" applyNumberFormat="1" applyFont="1" applyBorder="1"/>
    <xf numFmtId="174" fontId="63" fillId="0" borderId="49" xfId="0" applyNumberFormat="1" applyFont="1" applyBorder="1"/>
    <xf numFmtId="170" fontId="63" fillId="0" borderId="49" xfId="0" applyNumberFormat="1" applyFont="1" applyBorder="1"/>
    <xf numFmtId="170" fontId="63" fillId="0" borderId="49" xfId="0" applyNumberFormat="1" applyFont="1" applyBorder="1" applyAlignment="1">
      <alignment horizontal="center"/>
    </xf>
    <xf numFmtId="170" fontId="62" fillId="0" borderId="49" xfId="0" applyNumberFormat="1" applyFont="1" applyBorder="1" applyAlignment="1">
      <alignment horizontal="center"/>
    </xf>
    <xf numFmtId="165" fontId="42" fillId="0" borderId="49" xfId="2" applyNumberFormat="1" applyBorder="1"/>
    <xf numFmtId="0" fontId="42" fillId="0" borderId="49" xfId="2" applyBorder="1"/>
    <xf numFmtId="174" fontId="42" fillId="0" borderId="49" xfId="2" applyNumberFormat="1" applyBorder="1"/>
    <xf numFmtId="170" fontId="42" fillId="0" borderId="49" xfId="2" quotePrefix="1" applyNumberFormat="1" applyBorder="1" applyAlignment="1">
      <alignment horizontal="center"/>
    </xf>
    <xf numFmtId="170" fontId="49" fillId="0" borderId="49" xfId="2" applyNumberFormat="1" applyFont="1" applyBorder="1"/>
    <xf numFmtId="170" fontId="42" fillId="0" borderId="49" xfId="2" quotePrefix="1" applyNumberFormat="1" applyBorder="1" applyAlignment="1">
      <alignment horizontal="right"/>
    </xf>
    <xf numFmtId="170" fontId="49" fillId="0" borderId="49" xfId="2" quotePrefix="1" applyNumberFormat="1" applyFont="1" applyBorder="1" applyAlignment="1">
      <alignment horizontal="right"/>
    </xf>
    <xf numFmtId="170" fontId="49" fillId="0" borderId="49" xfId="2" applyNumberFormat="1" applyFont="1" applyBorder="1" applyAlignment="1">
      <alignment vertical="center"/>
    </xf>
    <xf numFmtId="170" fontId="42" fillId="0" borderId="45" xfId="2" quotePrefix="1" applyNumberFormat="1" applyBorder="1"/>
    <xf numFmtId="174" fontId="42" fillId="0" borderId="49" xfId="2" applyNumberFormat="1" applyBorder="1" applyAlignment="1">
      <alignment horizontal="right"/>
    </xf>
    <xf numFmtId="170" fontId="49" fillId="0" borderId="49" xfId="2" applyNumberFormat="1" applyFont="1" applyBorder="1" applyAlignment="1">
      <alignment horizontal="right"/>
    </xf>
    <xf numFmtId="170" fontId="42" fillId="0" borderId="49" xfId="2" quotePrefix="1" applyNumberFormat="1" applyBorder="1"/>
    <xf numFmtId="170" fontId="49" fillId="0" borderId="49" xfId="2" applyNumberFormat="1" applyFont="1" applyBorder="1" applyAlignment="1">
      <alignment horizontal="center"/>
    </xf>
    <xf numFmtId="174" fontId="49" fillId="0" borderId="49" xfId="2" applyNumberFormat="1" applyFont="1" applyBorder="1" applyAlignment="1">
      <alignment horizontal="right"/>
    </xf>
    <xf numFmtId="170" fontId="42" fillId="0" borderId="49" xfId="2" applyNumberFormat="1" applyBorder="1" applyAlignment="1">
      <alignment horizontal="right"/>
    </xf>
    <xf numFmtId="43" fontId="159" fillId="0" borderId="0" xfId="17924" applyFont="1"/>
    <xf numFmtId="43" fontId="159" fillId="0" borderId="0" xfId="17924" quotePrefix="1" applyFont="1" applyAlignment="1">
      <alignment horizontal="right"/>
    </xf>
    <xf numFmtId="43" fontId="160" fillId="0" borderId="0" xfId="17924" applyFont="1"/>
    <xf numFmtId="192" fontId="159" fillId="0" borderId="0" xfId="17924" applyNumberFormat="1" applyFont="1" applyAlignment="1">
      <alignment horizontal="right"/>
    </xf>
    <xf numFmtId="192" fontId="159" fillId="0" borderId="0" xfId="17924" applyNumberFormat="1" applyFont="1" applyBorder="1" applyAlignment="1"/>
    <xf numFmtId="192" fontId="159" fillId="0" borderId="0" xfId="17924" quotePrefix="1" applyNumberFormat="1" applyFont="1" applyBorder="1" applyAlignment="1">
      <alignment horizontal="right"/>
    </xf>
    <xf numFmtId="192" fontId="159" fillId="0" borderId="0" xfId="17924" quotePrefix="1" applyNumberFormat="1" applyFont="1" applyAlignment="1">
      <alignment horizontal="center"/>
    </xf>
    <xf numFmtId="192" fontId="159" fillId="0" borderId="0" xfId="17924" quotePrefix="1" applyNumberFormat="1" applyFont="1" applyAlignment="1">
      <alignment horizontal="right"/>
    </xf>
    <xf numFmtId="192" fontId="160" fillId="0" borderId="0" xfId="17924" applyNumberFormat="1" applyFont="1"/>
    <xf numFmtId="192" fontId="160" fillId="0" borderId="0" xfId="17924" applyNumberFormat="1" applyFont="1" applyAlignment="1">
      <alignment horizontal="right"/>
    </xf>
    <xf numFmtId="189" fontId="159" fillId="0" borderId="0" xfId="17924" applyNumberFormat="1" applyFont="1"/>
    <xf numFmtId="189" fontId="159" fillId="0" borderId="0" xfId="17924" quotePrefix="1" applyNumberFormat="1" applyFont="1" applyAlignment="1">
      <alignment horizontal="center"/>
    </xf>
    <xf numFmtId="189" fontId="160" fillId="0" borderId="0" xfId="17924" applyNumberFormat="1" applyFont="1"/>
    <xf numFmtId="189" fontId="159" fillId="0" borderId="0" xfId="17924" applyNumberFormat="1" applyFont="1" applyAlignment="1">
      <alignment horizontal="right"/>
    </xf>
    <xf numFmtId="189" fontId="160" fillId="0" borderId="0" xfId="17924" applyNumberFormat="1" applyFont="1" applyAlignment="1">
      <alignment horizontal="right"/>
    </xf>
    <xf numFmtId="0" fontId="49" fillId="0" borderId="49" xfId="2" applyFont="1" applyBorder="1" applyAlignment="1">
      <alignment horizontal="center"/>
    </xf>
    <xf numFmtId="37" fontId="49" fillId="0" borderId="49" xfId="2" applyNumberFormat="1" applyFont="1" applyBorder="1" applyAlignment="1">
      <alignment horizontal="center"/>
    </xf>
    <xf numFmtId="37" fontId="47" fillId="0" borderId="49" xfId="2" applyNumberFormat="1" applyFont="1" applyBorder="1"/>
    <xf numFmtId="37" fontId="42" fillId="0" borderId="49" xfId="2" applyNumberFormat="1" applyBorder="1"/>
    <xf numFmtId="170" fontId="42" fillId="0" borderId="0" xfId="1773" applyNumberFormat="1" applyFont="1" applyFill="1" applyBorder="1" applyAlignment="1"/>
    <xf numFmtId="37" fontId="49" fillId="0" borderId="49" xfId="2" quotePrefix="1" applyNumberFormat="1" applyFont="1" applyBorder="1" applyAlignment="1">
      <alignment horizontal="center"/>
    </xf>
    <xf numFmtId="192" fontId="208" fillId="0" borderId="0" xfId="17924" applyNumberFormat="1" applyFont="1"/>
    <xf numFmtId="165" fontId="226" fillId="0" borderId="0" xfId="2" applyNumberFormat="1" applyFont="1"/>
    <xf numFmtId="192" fontId="47" fillId="0" borderId="0" xfId="17924" applyNumberFormat="1" applyFont="1"/>
    <xf numFmtId="192" fontId="48" fillId="0" borderId="0" xfId="17924" applyNumberFormat="1" applyFont="1"/>
    <xf numFmtId="165" fontId="208" fillId="0" borderId="0" xfId="2" applyNumberFormat="1" applyFont="1" applyAlignment="1">
      <alignment horizontal="right"/>
    </xf>
    <xf numFmtId="174" fontId="49" fillId="0" borderId="51" xfId="2" applyNumberFormat="1" applyFont="1" applyBorder="1"/>
    <xf numFmtId="170" fontId="42" fillId="0" borderId="75" xfId="2" applyNumberFormat="1" applyBorder="1"/>
    <xf numFmtId="170" fontId="49" fillId="0" borderId="75" xfId="2" applyNumberFormat="1" applyFont="1" applyBorder="1"/>
    <xf numFmtId="165" fontId="42" fillId="0" borderId="75" xfId="2" applyNumberFormat="1" applyBorder="1"/>
    <xf numFmtId="174" fontId="49" fillId="0" borderId="75" xfId="2" applyNumberFormat="1" applyFont="1" applyBorder="1"/>
    <xf numFmtId="166" fontId="63" fillId="0" borderId="14" xfId="2" applyNumberFormat="1" applyFont="1" applyBorder="1"/>
    <xf numFmtId="174" fontId="62" fillId="0" borderId="14" xfId="2" applyNumberFormat="1" applyFont="1" applyBorder="1"/>
    <xf numFmtId="170" fontId="63" fillId="0" borderId="14" xfId="2" applyNumberFormat="1" applyFont="1" applyBorder="1"/>
    <xf numFmtId="170" fontId="62" fillId="0" borderId="14" xfId="2" applyNumberFormat="1" applyFont="1" applyBorder="1"/>
    <xf numFmtId="170" fontId="67" fillId="0" borderId="14" xfId="2" applyNumberFormat="1" applyFont="1" applyBorder="1"/>
    <xf numFmtId="166" fontId="67" fillId="0" borderId="14" xfId="2" applyNumberFormat="1" applyFont="1" applyBorder="1"/>
    <xf numFmtId="174" fontId="68" fillId="0" borderId="14" xfId="2" applyNumberFormat="1" applyFont="1" applyBorder="1"/>
    <xf numFmtId="166" fontId="63" fillId="0" borderId="27" xfId="2" applyNumberFormat="1" applyFont="1" applyBorder="1"/>
    <xf numFmtId="174" fontId="62" fillId="0" borderId="27" xfId="2" applyNumberFormat="1" applyFont="1" applyBorder="1"/>
    <xf numFmtId="170" fontId="63" fillId="0" borderId="27" xfId="2" applyNumberFormat="1" applyFont="1" applyBorder="1"/>
    <xf numFmtId="170" fontId="62" fillId="0" borderId="27" xfId="2" applyNumberFormat="1" applyFont="1" applyBorder="1"/>
    <xf numFmtId="170" fontId="67" fillId="0" borderId="27" xfId="2" applyNumberFormat="1" applyFont="1" applyBorder="1"/>
    <xf numFmtId="170" fontId="68" fillId="0" borderId="27" xfId="2" applyNumberFormat="1" applyFont="1" applyBorder="1"/>
    <xf numFmtId="0" fontId="208" fillId="0" borderId="0" xfId="4" applyFont="1"/>
    <xf numFmtId="192" fontId="208" fillId="0" borderId="0" xfId="17924" applyNumberFormat="1" applyFont="1" applyFill="1" applyBorder="1" applyAlignment="1" applyProtection="1">
      <alignment horizontal="right"/>
    </xf>
    <xf numFmtId="192" fontId="208" fillId="0" borderId="0" xfId="17924" applyNumberFormat="1" applyFont="1" applyAlignment="1">
      <alignment horizontal="right"/>
    </xf>
    <xf numFmtId="174" fontId="49" fillId="0" borderId="0" xfId="2" quotePrefix="1" applyNumberFormat="1" applyFont="1" applyAlignment="1">
      <alignment horizontal="right"/>
    </xf>
    <xf numFmtId="169" fontId="49" fillId="0" borderId="0" xfId="2" applyNumberFormat="1" applyFont="1" applyAlignment="1" applyProtection="1">
      <alignment horizontal="right"/>
      <protection locked="0"/>
    </xf>
    <xf numFmtId="0" fontId="42" fillId="0" borderId="0" xfId="2" applyProtection="1">
      <protection locked="0"/>
    </xf>
    <xf numFmtId="174" fontId="62" fillId="0" borderId="0" xfId="2" applyNumberFormat="1" applyFont="1" applyAlignment="1">
      <alignment horizontal="right"/>
    </xf>
    <xf numFmtId="172" fontId="49" fillId="0" borderId="0" xfId="1940" applyNumberFormat="1" applyFont="1" applyAlignment="1"/>
    <xf numFmtId="170" fontId="63" fillId="0" borderId="64" xfId="2" applyNumberFormat="1" applyFont="1" applyBorder="1" applyAlignment="1">
      <alignment horizontal="right"/>
    </xf>
    <xf numFmtId="170" fontId="63" fillId="0" borderId="65" xfId="2" applyNumberFormat="1" applyFont="1" applyBorder="1" applyAlignment="1">
      <alignment horizontal="right"/>
    </xf>
    <xf numFmtId="0" fontId="42" fillId="0" borderId="0" xfId="2" applyAlignment="1">
      <alignment horizontal="center"/>
    </xf>
    <xf numFmtId="170" fontId="63" fillId="0" borderId="0" xfId="2" quotePrefix="1" applyNumberFormat="1" applyFont="1" applyAlignment="1">
      <alignment horizontal="right"/>
    </xf>
    <xf numFmtId="10" fontId="42" fillId="0" borderId="0" xfId="1940" applyNumberFormat="1" applyFont="1" applyFill="1" applyBorder="1" applyAlignment="1"/>
    <xf numFmtId="164" fontId="42" fillId="0" borderId="0" xfId="1940" applyNumberFormat="1" applyFont="1" applyFill="1" applyBorder="1" applyAlignment="1"/>
    <xf numFmtId="164" fontId="42" fillId="0" borderId="45" xfId="1940" applyNumberFormat="1" applyFont="1" applyBorder="1" applyAlignment="1"/>
    <xf numFmtId="170" fontId="62" fillId="0" borderId="0" xfId="2" applyNumberFormat="1" applyFont="1" applyAlignment="1">
      <alignment horizontal="center"/>
    </xf>
    <xf numFmtId="164" fontId="49" fillId="0" borderId="45" xfId="1940" applyNumberFormat="1" applyFont="1" applyFill="1" applyBorder="1" applyAlignment="1"/>
    <xf numFmtId="166" fontId="62" fillId="0" borderId="64" xfId="2" applyNumberFormat="1" applyFont="1" applyBorder="1"/>
    <xf numFmtId="166" fontId="62" fillId="0" borderId="64" xfId="2" applyNumberFormat="1" applyFont="1" applyBorder="1" applyAlignment="1">
      <alignment horizontal="right"/>
    </xf>
    <xf numFmtId="166" fontId="62" fillId="0" borderId="0" xfId="2" applyNumberFormat="1" applyFont="1" applyAlignment="1">
      <alignment horizontal="right"/>
    </xf>
    <xf numFmtId="166" fontId="68" fillId="0" borderId="0" xfId="2" applyNumberFormat="1" applyFont="1" applyAlignment="1">
      <alignment horizontal="right"/>
    </xf>
    <xf numFmtId="166" fontId="62" fillId="0" borderId="17" xfId="2" applyNumberFormat="1" applyFont="1" applyBorder="1"/>
    <xf numFmtId="174" fontId="62" fillId="0" borderId="73" xfId="2" applyNumberFormat="1" applyFont="1" applyBorder="1"/>
    <xf numFmtId="164" fontId="49" fillId="0" borderId="15" xfId="1940" applyNumberFormat="1" applyFont="1" applyBorder="1" applyAlignment="1"/>
    <xf numFmtId="166" fontId="67" fillId="0" borderId="20" xfId="2" applyNumberFormat="1" applyFont="1" applyBorder="1"/>
    <xf numFmtId="0" fontId="62" fillId="0" borderId="0" xfId="2" applyFont="1"/>
    <xf numFmtId="0" fontId="68" fillId="0" borderId="0" xfId="2" applyFont="1"/>
    <xf numFmtId="0" fontId="62" fillId="0" borderId="0" xfId="2" quotePrefix="1" applyFont="1" applyAlignment="1">
      <alignment horizontal="left"/>
    </xf>
    <xf numFmtId="165" fontId="227" fillId="0" borderId="0" xfId="2" applyNumberFormat="1" applyFont="1"/>
    <xf numFmtId="164" fontId="42" fillId="0" borderId="45" xfId="1940" applyNumberFormat="1" applyFont="1" applyFill="1" applyBorder="1" applyAlignment="1"/>
    <xf numFmtId="165" fontId="42" fillId="0" borderId="0" xfId="2" quotePrefix="1" applyNumberFormat="1"/>
    <xf numFmtId="164" fontId="42" fillId="0" borderId="0" xfId="1940" applyNumberFormat="1" applyFont="1" applyFill="1" applyAlignment="1"/>
    <xf numFmtId="0" fontId="49" fillId="0" borderId="10" xfId="2" applyFont="1" applyBorder="1" applyAlignment="1">
      <alignment horizontal="center"/>
    </xf>
    <xf numFmtId="0" fontId="49" fillId="0" borderId="10" xfId="2" quotePrefix="1" applyFont="1" applyBorder="1" applyAlignment="1">
      <alignment horizontal="center"/>
    </xf>
    <xf numFmtId="165" fontId="49" fillId="0" borderId="10" xfId="2" applyNumberFormat="1" applyFont="1" applyBorder="1" applyAlignment="1">
      <alignment horizontal="center"/>
    </xf>
    <xf numFmtId="164" fontId="49" fillId="0" borderId="0" xfId="1940" applyNumberFormat="1" applyFont="1" applyFill="1" applyAlignment="1"/>
    <xf numFmtId="172" fontId="42" fillId="0" borderId="0" xfId="1940" applyNumberFormat="1" applyFont="1" applyFill="1" applyAlignment="1"/>
    <xf numFmtId="189" fontId="42" fillId="0" borderId="0" xfId="5458" applyNumberFormat="1"/>
    <xf numFmtId="0" fontId="42" fillId="0" borderId="0" xfId="5458" applyNumberFormat="1"/>
    <xf numFmtId="0" fontId="49" fillId="0" borderId="0" xfId="5458" applyNumberFormat="1" applyFont="1"/>
    <xf numFmtId="0" fontId="49" fillId="0" borderId="0" xfId="5458" applyNumberFormat="1" applyFont="1" applyAlignment="1">
      <alignment horizontal="right" vertical="top"/>
    </xf>
    <xf numFmtId="0" fontId="49" fillId="0" borderId="0" xfId="5458" applyNumberFormat="1" applyFont="1" applyAlignment="1">
      <alignment horizontal="right"/>
    </xf>
    <xf numFmtId="0" fontId="49" fillId="0" borderId="0" xfId="5458" applyNumberFormat="1" applyFont="1" applyAlignment="1">
      <alignment horizontal="left" vertical="top"/>
    </xf>
    <xf numFmtId="0" fontId="49" fillId="0" borderId="0" xfId="5458" applyNumberFormat="1" applyFont="1" applyAlignment="1">
      <alignment horizontal="left"/>
    </xf>
    <xf numFmtId="0" fontId="42" fillId="0" borderId="0" xfId="5458" quotePrefix="1" applyNumberFormat="1"/>
    <xf numFmtId="0" fontId="49" fillId="0" borderId="0" xfId="5458" applyNumberFormat="1" applyFont="1" applyAlignment="1">
      <alignment horizontal="center" vertical="top"/>
    </xf>
    <xf numFmtId="0" fontId="49" fillId="0" borderId="0" xfId="5458" applyNumberFormat="1" applyFont="1" applyAlignment="1">
      <alignment horizontal="center"/>
    </xf>
    <xf numFmtId="0" fontId="49" fillId="0" borderId="0" xfId="5458" quotePrefix="1" applyNumberFormat="1" applyFont="1" applyAlignment="1">
      <alignment horizontal="center"/>
    </xf>
    <xf numFmtId="0" fontId="49" fillId="0" borderId="0" xfId="5458" applyNumberFormat="1" applyFont="1" applyAlignment="1">
      <alignment horizontal="centerContinuous"/>
    </xf>
    <xf numFmtId="0" fontId="49" fillId="0" borderId="10" xfId="5458" applyNumberFormat="1" applyFont="1" applyBorder="1" applyAlignment="1">
      <alignment horizontal="centerContinuous"/>
    </xf>
    <xf numFmtId="0" fontId="49" fillId="0" borderId="10" xfId="5458" applyNumberFormat="1" applyFont="1" applyBorder="1"/>
    <xf numFmtId="0" fontId="49" fillId="0" borderId="10" xfId="5458" quotePrefix="1" applyNumberFormat="1" applyFont="1" applyBorder="1" applyAlignment="1">
      <alignment horizontal="center"/>
    </xf>
    <xf numFmtId="49" fontId="49" fillId="0" borderId="10" xfId="5458" applyNumberFormat="1" applyFont="1" applyBorder="1" applyAlignment="1">
      <alignment horizontal="center"/>
    </xf>
    <xf numFmtId="49" fontId="49" fillId="0" borderId="10" xfId="5458" quotePrefix="1" applyNumberFormat="1" applyFont="1" applyBorder="1" applyAlignment="1">
      <alignment horizontal="center"/>
    </xf>
    <xf numFmtId="0" fontId="49" fillId="0" borderId="61" xfId="5458" applyNumberFormat="1" applyFont="1" applyBorder="1" applyAlignment="1">
      <alignment horizontal="center"/>
    </xf>
    <xf numFmtId="0" fontId="49" fillId="0" borderId="10" xfId="5458" applyNumberFormat="1" applyFont="1" applyBorder="1" applyAlignment="1">
      <alignment horizontal="center"/>
    </xf>
    <xf numFmtId="39" fontId="42" fillId="0" borderId="0" xfId="5458" quotePrefix="1" applyNumberFormat="1"/>
    <xf numFmtId="39" fontId="63" fillId="0" borderId="0" xfId="5458" quotePrefix="1" applyNumberFormat="1" applyFont="1"/>
    <xf numFmtId="39" fontId="42" fillId="0" borderId="0" xfId="5458" applyNumberFormat="1"/>
    <xf numFmtId="0" fontId="63" fillId="0" borderId="0" xfId="5458" applyNumberFormat="1" applyFont="1"/>
    <xf numFmtId="0" fontId="42" fillId="0" borderId="0" xfId="5508" applyFont="1" applyAlignment="1">
      <alignment horizontal="center"/>
    </xf>
    <xf numFmtId="42" fontId="63" fillId="0" borderId="0" xfId="5458" applyNumberFormat="1" applyFont="1" applyAlignment="1">
      <alignment horizontal="right"/>
    </xf>
    <xf numFmtId="42" fontId="63" fillId="0" borderId="0" xfId="5458" applyNumberFormat="1" applyFont="1" applyAlignment="1">
      <alignment horizontal="right" vertical="top"/>
    </xf>
    <xf numFmtId="41" fontId="63" fillId="0" borderId="0" xfId="5458" applyNumberFormat="1" applyFont="1" applyAlignment="1">
      <alignment horizontal="right"/>
    </xf>
    <xf numFmtId="0" fontId="63" fillId="0" borderId="0" xfId="5458" applyNumberFormat="1" applyFont="1" applyAlignment="1">
      <alignment horizontal="right"/>
    </xf>
    <xf numFmtId="41" fontId="42" fillId="0" borderId="0" xfId="5458" applyNumberFormat="1" applyAlignment="1">
      <alignment horizontal="right"/>
    </xf>
    <xf numFmtId="0" fontId="42" fillId="0" borderId="0" xfId="5458" quotePrefix="1" applyNumberFormat="1" applyAlignment="1">
      <alignment horizontal="left" vertical="top"/>
    </xf>
    <xf numFmtId="0" fontId="42" fillId="0" borderId="0" xfId="5458" applyNumberFormat="1" applyAlignment="1">
      <alignment horizontal="left" vertical="top"/>
    </xf>
    <xf numFmtId="37" fontId="42" fillId="0" borderId="0" xfId="5508" applyNumberFormat="1" applyFont="1"/>
    <xf numFmtId="0" fontId="49" fillId="0" borderId="0" xfId="5458" quotePrefix="1" applyNumberFormat="1" applyFont="1" applyAlignment="1">
      <alignment horizontal="left" vertical="top"/>
    </xf>
    <xf numFmtId="42" fontId="49" fillId="0" borderId="54" xfId="5458" applyNumberFormat="1" applyFont="1" applyBorder="1" applyAlignment="1">
      <alignment horizontal="right" vertical="top"/>
    </xf>
    <xf numFmtId="42" fontId="49" fillId="0" borderId="0" xfId="5458" applyNumberFormat="1" applyFont="1" applyAlignment="1">
      <alignment horizontal="right" vertical="top"/>
    </xf>
    <xf numFmtId="37" fontId="42" fillId="0" borderId="0" xfId="5458" applyNumberFormat="1"/>
    <xf numFmtId="42" fontId="42" fillId="0" borderId="0" xfId="5458" applyNumberFormat="1"/>
    <xf numFmtId="44" fontId="42" fillId="0" borderId="0" xfId="5458" applyNumberFormat="1"/>
    <xf numFmtId="44" fontId="42" fillId="0" borderId="0" xfId="5508" applyNumberFormat="1" applyFont="1"/>
    <xf numFmtId="42" fontId="42" fillId="0" borderId="0" xfId="5508" applyNumberFormat="1" applyFont="1"/>
    <xf numFmtId="165" fontId="209" fillId="0" borderId="0" xfId="2" applyNumberFormat="1" applyFont="1"/>
    <xf numFmtId="172" fontId="42" fillId="0" borderId="65" xfId="1940" applyNumberFormat="1" applyFont="1" applyFill="1" applyBorder="1" applyAlignment="1"/>
    <xf numFmtId="192" fontId="159" fillId="0" borderId="0" xfId="17924" applyNumberFormat="1" applyFont="1" applyFill="1"/>
    <xf numFmtId="192" fontId="209" fillId="0" borderId="0" xfId="17924" applyNumberFormat="1" applyFont="1" applyFill="1"/>
    <xf numFmtId="192" fontId="159" fillId="0" borderId="0" xfId="17924" applyNumberFormat="1" applyFont="1" applyBorder="1"/>
    <xf numFmtId="185" fontId="49" fillId="0" borderId="10" xfId="740" quotePrefix="1" applyNumberFormat="1" applyFont="1" applyBorder="1" applyAlignment="1">
      <alignment horizontal="center"/>
    </xf>
    <xf numFmtId="43" fontId="160" fillId="0" borderId="0" xfId="740" quotePrefix="1" applyNumberFormat="1" applyFont="1" applyAlignment="1">
      <alignment horizontal="left"/>
    </xf>
    <xf numFmtId="177" fontId="70" fillId="0" borderId="0" xfId="740" applyNumberFormat="1" applyFont="1" applyAlignment="1">
      <alignment vertical="center"/>
    </xf>
    <xf numFmtId="177" fontId="47" fillId="0" borderId="0" xfId="740" applyNumberFormat="1" applyFont="1" applyAlignment="1">
      <alignment vertical="center"/>
    </xf>
    <xf numFmtId="177" fontId="70" fillId="0" borderId="0" xfId="740" quotePrefix="1" applyNumberFormat="1" applyFont="1" applyAlignment="1">
      <alignment horizontal="right" vertical="center"/>
    </xf>
    <xf numFmtId="43" fontId="208" fillId="0" borderId="0" xfId="740" applyNumberFormat="1" applyFont="1" applyAlignment="1">
      <alignment vertical="center"/>
    </xf>
    <xf numFmtId="0" fontId="97" fillId="0" borderId="0" xfId="740" applyFont="1" applyAlignment="1">
      <alignment vertical="center"/>
    </xf>
    <xf numFmtId="43" fontId="160" fillId="0" borderId="0" xfId="740" quotePrefix="1" applyNumberFormat="1" applyFont="1" applyAlignment="1">
      <alignment horizontal="right" vertical="center"/>
    </xf>
    <xf numFmtId="0" fontId="85" fillId="0" borderId="0" xfId="740" applyFont="1" applyAlignment="1">
      <alignment horizontal="right" vertical="center"/>
    </xf>
    <xf numFmtId="43" fontId="221" fillId="0" borderId="0" xfId="740" applyNumberFormat="1" applyFont="1" applyAlignment="1">
      <alignment horizontal="right" vertical="center"/>
    </xf>
    <xf numFmtId="177" fontId="70" fillId="0" borderId="0" xfId="740" quotePrefix="1" applyNumberFormat="1" applyFont="1" applyAlignment="1">
      <alignment horizontal="left" vertical="center"/>
    </xf>
    <xf numFmtId="177" fontId="201" fillId="0" borderId="0" xfId="740" applyNumberFormat="1" applyFont="1" applyAlignment="1">
      <alignment vertical="center"/>
    </xf>
    <xf numFmtId="165" fontId="99" fillId="0" borderId="0" xfId="740" applyNumberFormat="1" applyFont="1" applyAlignment="1">
      <alignment vertical="center"/>
    </xf>
    <xf numFmtId="177" fontId="42" fillId="0" borderId="0" xfId="740" applyNumberFormat="1" applyFont="1" applyAlignment="1">
      <alignment horizontal="fill" vertical="center"/>
    </xf>
    <xf numFmtId="177" fontId="42" fillId="0" borderId="0" xfId="740" applyNumberFormat="1" applyFont="1" applyAlignment="1">
      <alignment vertical="center"/>
    </xf>
    <xf numFmtId="43" fontId="159" fillId="0" borderId="0" xfId="740" applyNumberFormat="1" applyFont="1" applyAlignment="1">
      <alignment vertical="center"/>
    </xf>
    <xf numFmtId="179" fontId="65" fillId="0" borderId="0" xfId="740" applyNumberFormat="1" applyFont="1" applyAlignment="1">
      <alignment horizontal="right"/>
    </xf>
    <xf numFmtId="0" fontId="48" fillId="0" borderId="10" xfId="9967" applyFont="1" applyBorder="1" applyAlignment="1">
      <alignment horizontal="center"/>
    </xf>
    <xf numFmtId="49" fontId="0" fillId="0" borderId="0" xfId="17" applyNumberFormat="1" applyFont="1"/>
    <xf numFmtId="189" fontId="208" fillId="0" borderId="0" xfId="17924" applyNumberFormat="1" applyFont="1"/>
    <xf numFmtId="189" fontId="208" fillId="0" borderId="0" xfId="17924" applyNumberFormat="1" applyFont="1" applyFill="1" applyAlignment="1"/>
    <xf numFmtId="164" fontId="97" fillId="0" borderId="0" xfId="1028" applyNumberFormat="1" applyFont="1"/>
    <xf numFmtId="165" fontId="226" fillId="0" borderId="0" xfId="840" applyNumberFormat="1" applyFont="1"/>
    <xf numFmtId="164" fontId="110" fillId="0" borderId="45" xfId="0" applyFont="1" applyBorder="1" applyAlignment="1">
      <alignment horizontal="center"/>
    </xf>
    <xf numFmtId="44" fontId="42" fillId="0" borderId="0" xfId="1767" applyNumberFormat="1" applyFont="1" applyAlignment="1">
      <alignment horizontal="right"/>
    </xf>
    <xf numFmtId="43" fontId="49" fillId="0" borderId="54" xfId="1028" applyNumberFormat="1" applyFont="1" applyBorder="1" applyAlignment="1">
      <alignment horizontal="right"/>
    </xf>
    <xf numFmtId="43" fontId="49" fillId="0" borderId="0" xfId="1028" applyNumberFormat="1" applyFont="1" applyAlignment="1">
      <alignment horizontal="right"/>
    </xf>
    <xf numFmtId="164" fontId="49" fillId="0" borderId="0" xfId="0" applyFont="1" applyAlignment="1">
      <alignment horizontal="right"/>
    </xf>
    <xf numFmtId="43" fontId="49" fillId="0" borderId="54" xfId="1767" applyNumberFormat="1" applyFont="1" applyBorder="1" applyAlignment="1">
      <alignment horizontal="right"/>
    </xf>
    <xf numFmtId="43" fontId="49" fillId="0" borderId="0" xfId="0" applyNumberFormat="1" applyFont="1" applyAlignment="1">
      <alignment horizontal="right"/>
    </xf>
    <xf numFmtId="43" fontId="42" fillId="0" borderId="0" xfId="1028" applyNumberFormat="1" applyAlignment="1">
      <alignment horizontal="right"/>
    </xf>
    <xf numFmtId="43" fontId="0" fillId="0" borderId="0" xfId="0" applyNumberFormat="1" applyAlignment="1">
      <alignment horizontal="right"/>
    </xf>
    <xf numFmtId="43" fontId="49" fillId="0" borderId="0" xfId="1767" applyNumberFormat="1" applyFont="1" applyAlignment="1">
      <alignment horizontal="right"/>
    </xf>
    <xf numFmtId="43" fontId="42" fillId="0" borderId="0" xfId="176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1767" applyNumberFormat="1" applyFont="1" applyBorder="1" applyAlignment="1">
      <alignment horizontal="right"/>
    </xf>
    <xf numFmtId="40" fontId="159" fillId="0" borderId="0" xfId="840" quotePrefix="1" applyNumberFormat="1" applyFont="1" applyAlignment="1">
      <alignment horizontal="left"/>
    </xf>
    <xf numFmtId="41" fontId="204" fillId="0" borderId="0" xfId="840" applyNumberFormat="1" applyFont="1"/>
    <xf numFmtId="41" fontId="63" fillId="0" borderId="0" xfId="5458"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1" fontId="47" fillId="0" borderId="13" xfId="0" applyNumberFormat="1" applyFont="1" applyBorder="1"/>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1767" applyNumberFormat="1" applyFont="1" applyAlignment="1">
      <alignment horizontal="left"/>
    </xf>
    <xf numFmtId="179" fontId="65" fillId="0" borderId="0" xfId="1767" applyNumberFormat="1" applyFont="1" applyAlignment="1">
      <alignment horizontal="right"/>
    </xf>
    <xf numFmtId="177" fontId="65" fillId="0" borderId="0" xfId="1767" applyNumberFormat="1" applyFont="1" applyAlignment="1">
      <alignment horizontal="right"/>
    </xf>
    <xf numFmtId="177" fontId="65" fillId="0" borderId="10" xfId="1767" applyNumberFormat="1" applyFont="1" applyBorder="1" applyAlignment="1">
      <alignment horizontal="left"/>
    </xf>
    <xf numFmtId="177" fontId="65" fillId="0" borderId="10" xfId="740" applyNumberFormat="1" applyFont="1" applyBorder="1" applyAlignment="1">
      <alignment horizontal="center"/>
    </xf>
    <xf numFmtId="177" fontId="70" fillId="0" borderId="10" xfId="836" applyNumberFormat="1" applyFont="1" applyBorder="1" applyAlignment="1">
      <alignment horizontal="right"/>
    </xf>
    <xf numFmtId="177" fontId="70" fillId="0" borderId="10" xfId="836" applyNumberFormat="1" applyFont="1" applyBorder="1"/>
    <xf numFmtId="177" fontId="70" fillId="0" borderId="53" xfId="836" applyNumberFormat="1" applyFont="1" applyBorder="1" applyAlignment="1">
      <alignment horizontal="right"/>
    </xf>
    <xf numFmtId="179" fontId="70" fillId="0" borderId="15" xfId="836" applyNumberFormat="1" applyFont="1" applyBorder="1"/>
    <xf numFmtId="179" fontId="70" fillId="0" borderId="0" xfId="836" applyNumberFormat="1" applyFont="1"/>
    <xf numFmtId="180" fontId="65" fillId="0" borderId="20" xfId="836" applyNumberFormat="1" applyFont="1" applyBorder="1"/>
    <xf numFmtId="181" fontId="226" fillId="0" borderId="0" xfId="836" applyNumberFormat="1" applyFont="1"/>
    <xf numFmtId="177" fontId="65" fillId="0" borderId="0" xfId="836" applyNumberFormat="1" applyFont="1" applyAlignment="1">
      <alignment horizontal="fill"/>
    </xf>
    <xf numFmtId="179" fontId="42" fillId="0" borderId="0" xfId="1767" applyNumberFormat="1" applyFont="1" applyAlignment="1">
      <alignment horizontal="left"/>
    </xf>
    <xf numFmtId="177" fontId="42" fillId="0" borderId="0" xfId="1767" applyNumberFormat="1" applyFont="1" applyAlignment="1">
      <alignment horizontal="right"/>
    </xf>
    <xf numFmtId="179" fontId="42" fillId="0" borderId="0" xfId="740" applyNumberFormat="1" applyFont="1" applyAlignment="1">
      <alignment horizontal="center"/>
    </xf>
    <xf numFmtId="177" fontId="42" fillId="0" borderId="0" xfId="1767" applyNumberFormat="1" applyFont="1" applyAlignment="1">
      <alignment horizontal="left"/>
    </xf>
    <xf numFmtId="177" fontId="42" fillId="0" borderId="0" xfId="740" applyNumberFormat="1" applyFont="1" applyAlignment="1">
      <alignment horizontal="center"/>
    </xf>
    <xf numFmtId="177" fontId="49" fillId="0" borderId="61" xfId="740" applyNumberFormat="1" applyFont="1" applyBorder="1" applyAlignment="1">
      <alignment horizontal="right"/>
    </xf>
    <xf numFmtId="177" fontId="100" fillId="0" borderId="0" xfId="740" applyNumberFormat="1" applyFont="1"/>
    <xf numFmtId="177" fontId="99" fillId="0" borderId="0" xfId="1767" applyNumberFormat="1" applyFont="1"/>
    <xf numFmtId="177" fontId="172" fillId="0" borderId="0" xfId="740" applyNumberFormat="1" applyFont="1"/>
    <xf numFmtId="177" fontId="42" fillId="0" borderId="0" xfId="1767" applyNumberFormat="1" applyFont="1" applyAlignment="1">
      <alignment horizontal="center"/>
    </xf>
    <xf numFmtId="177" fontId="42" fillId="0" borderId="0" xfId="1767" quotePrefix="1" applyNumberFormat="1" applyFont="1" applyAlignment="1">
      <alignment horizontal="center"/>
    </xf>
    <xf numFmtId="177" fontId="49" fillId="0" borderId="61" xfId="740" applyNumberFormat="1" applyFont="1" applyBorder="1"/>
    <xf numFmtId="177" fontId="49" fillId="0" borderId="10" xfId="740" applyNumberFormat="1" applyFont="1" applyBorder="1"/>
    <xf numFmtId="177" fontId="53" fillId="0" borderId="0" xfId="740" applyNumberFormat="1" applyFont="1" applyAlignment="1">
      <alignment horizontal="right"/>
    </xf>
    <xf numFmtId="177" fontId="53" fillId="0" borderId="0" xfId="740" applyNumberFormat="1" applyFont="1" applyAlignment="1">
      <alignment horizontal="center"/>
    </xf>
    <xf numFmtId="177" fontId="42" fillId="0" borderId="0" xfId="740" quotePrefix="1" applyNumberFormat="1" applyFont="1" applyAlignment="1">
      <alignment horizontal="center"/>
    </xf>
    <xf numFmtId="179" fontId="49" fillId="0" borderId="15" xfId="740" applyNumberFormat="1" applyFont="1" applyBorder="1"/>
    <xf numFmtId="180" fontId="49" fillId="0" borderId="0" xfId="740" applyNumberFormat="1" applyFont="1" applyAlignment="1">
      <alignment horizontal="right"/>
    </xf>
    <xf numFmtId="192" fontId="159" fillId="0" borderId="0" xfId="17924" applyNumberFormat="1" applyFont="1" applyFill="1" applyBorder="1"/>
    <xf numFmtId="192" fontId="160" fillId="0" borderId="0" xfId="17924" applyNumberFormat="1" applyFont="1" applyFill="1"/>
    <xf numFmtId="174" fontId="49" fillId="0" borderId="0" xfId="2" applyNumberFormat="1" applyFont="1" applyProtection="1">
      <protection locked="0"/>
    </xf>
    <xf numFmtId="174" fontId="49" fillId="0" borderId="75" xfId="2" applyNumberFormat="1" applyFont="1" applyBorder="1" applyProtection="1">
      <protection locked="0"/>
    </xf>
    <xf numFmtId="174" fontId="49" fillId="0" borderId="17" xfId="2" applyNumberFormat="1" applyFont="1" applyBorder="1" applyProtection="1">
      <protection locked="0"/>
    </xf>
    <xf numFmtId="169" fontId="49" fillId="0" borderId="14" xfId="2" applyNumberFormat="1" applyFont="1" applyBorder="1" applyAlignment="1" applyProtection="1">
      <alignment horizontal="right"/>
      <protection locked="0"/>
    </xf>
    <xf numFmtId="0" fontId="42" fillId="0" borderId="75" xfId="2" applyBorder="1" applyProtection="1">
      <protection locked="0"/>
    </xf>
    <xf numFmtId="0" fontId="42" fillId="0" borderId="17" xfId="2" applyBorder="1" applyProtection="1">
      <protection locked="0"/>
    </xf>
    <xf numFmtId="0" fontId="42" fillId="0" borderId="14" xfId="2" applyBorder="1" applyProtection="1">
      <protection locked="0"/>
    </xf>
    <xf numFmtId="170" fontId="42" fillId="0" borderId="10" xfId="2" applyNumberFormat="1" applyBorder="1" applyAlignment="1">
      <alignment horizontal="right"/>
    </xf>
    <xf numFmtId="170" fontId="42" fillId="0" borderId="10" xfId="2" quotePrefix="1" applyNumberFormat="1" applyBorder="1" applyAlignment="1">
      <alignment horizontal="right"/>
    </xf>
    <xf numFmtId="170" fontId="42" fillId="0" borderId="75" xfId="2" applyNumberFormat="1" applyBorder="1" applyProtection="1">
      <protection locked="0"/>
    </xf>
    <xf numFmtId="170" fontId="42" fillId="0" borderId="17" xfId="2" applyNumberFormat="1" applyBorder="1" applyProtection="1">
      <protection locked="0"/>
    </xf>
    <xf numFmtId="166" fontId="42" fillId="0" borderId="14" xfId="2" applyNumberFormat="1" applyBorder="1" applyProtection="1">
      <protection locked="0"/>
    </xf>
    <xf numFmtId="170" fontId="49" fillId="0" borderId="23" xfId="2" quotePrefix="1" applyNumberFormat="1" applyFont="1" applyBorder="1" applyAlignment="1">
      <alignment horizontal="right"/>
    </xf>
    <xf numFmtId="170" fontId="49" fillId="0" borderId="0" xfId="2" applyNumberFormat="1" applyFont="1" applyProtection="1">
      <protection locked="0"/>
    </xf>
    <xf numFmtId="170" fontId="49" fillId="0" borderId="75" xfId="2" applyNumberFormat="1" applyFont="1" applyBorder="1" applyProtection="1">
      <protection locked="0"/>
    </xf>
    <xf numFmtId="170" fontId="49" fillId="0" borderId="17" xfId="2" applyNumberFormat="1" applyFont="1" applyBorder="1" applyProtection="1">
      <protection locked="0"/>
    </xf>
    <xf numFmtId="172" fontId="49" fillId="0" borderId="45" xfId="1940" applyNumberFormat="1" applyFont="1" applyFill="1" applyBorder="1" applyAlignment="1"/>
    <xf numFmtId="170" fontId="42" fillId="0" borderId="64" xfId="2" applyNumberFormat="1" applyBorder="1" applyProtection="1">
      <protection locked="0"/>
    </xf>
    <xf numFmtId="170" fontId="42" fillId="0" borderId="75" xfId="2" applyNumberFormat="1" applyBorder="1" applyAlignment="1" applyProtection="1">
      <alignment horizontal="center"/>
      <protection locked="0"/>
    </xf>
    <xf numFmtId="170" fontId="42" fillId="0" borderId="0" xfId="2" applyNumberFormat="1" applyAlignment="1" applyProtection="1">
      <alignment horizontal="center"/>
      <protection locked="0"/>
    </xf>
    <xf numFmtId="166" fontId="42" fillId="0" borderId="14" xfId="2" applyNumberFormat="1" applyBorder="1" applyAlignment="1" applyProtection="1">
      <alignment horizontal="center"/>
      <protection locked="0"/>
    </xf>
    <xf numFmtId="170" fontId="49" fillId="0" borderId="10" xfId="2" quotePrefix="1" applyNumberFormat="1" applyFont="1" applyBorder="1" applyAlignment="1">
      <alignment horizontal="right"/>
    </xf>
    <xf numFmtId="170" fontId="49" fillId="0" borderId="0" xfId="2" applyNumberFormat="1" applyFont="1" applyAlignment="1" applyProtection="1">
      <alignment horizontal="center"/>
      <protection locked="0"/>
    </xf>
    <xf numFmtId="170" fontId="49" fillId="0" borderId="10" xfId="2" applyNumberFormat="1" applyFont="1" applyBorder="1"/>
    <xf numFmtId="172" fontId="49" fillId="0" borderId="10" xfId="2" applyNumberFormat="1" applyFont="1" applyBorder="1"/>
    <xf numFmtId="166" fontId="42" fillId="0" borderId="14" xfId="2" quotePrefix="1" applyNumberFormat="1" applyBorder="1" applyAlignment="1" applyProtection="1">
      <alignment horizontal="right"/>
      <protection locked="0"/>
    </xf>
    <xf numFmtId="170" fontId="42" fillId="0" borderId="10" xfId="2" applyNumberFormat="1" applyBorder="1"/>
    <xf numFmtId="170" fontId="42" fillId="0" borderId="64" xfId="2" applyNumberFormat="1" applyBorder="1" applyAlignment="1">
      <alignment horizontal="center"/>
    </xf>
    <xf numFmtId="170" fontId="49" fillId="0" borderId="0" xfId="2" applyNumberFormat="1" applyFont="1" applyAlignment="1" applyProtection="1">
      <alignment horizontal="right"/>
      <protection locked="0"/>
    </xf>
    <xf numFmtId="172" fontId="49" fillId="0" borderId="10" xfId="0" applyNumberFormat="1" applyFont="1" applyBorder="1"/>
    <xf numFmtId="174" fontId="49" fillId="0" borderId="51" xfId="4" applyNumberFormat="1" applyFont="1" applyBorder="1"/>
    <xf numFmtId="172" fontId="49" fillId="0" borderId="51" xfId="1940" applyNumberFormat="1" applyFont="1" applyFill="1" applyBorder="1" applyAlignment="1"/>
    <xf numFmtId="166" fontId="42" fillId="0" borderId="20" xfId="2" applyNumberFormat="1" applyBorder="1"/>
    <xf numFmtId="170" fontId="42" fillId="0" borderId="20" xfId="2" applyNumberFormat="1" applyBorder="1"/>
    <xf numFmtId="170" fontId="49" fillId="0" borderId="10" xfId="2" quotePrefix="1" applyNumberFormat="1" applyFont="1" applyBorder="1"/>
    <xf numFmtId="0" fontId="42" fillId="0" borderId="76" xfId="2" applyBorder="1"/>
    <xf numFmtId="192" fontId="42" fillId="0" borderId="45" xfId="2" applyNumberFormat="1" applyBorder="1"/>
    <xf numFmtId="0" fontId="42" fillId="0" borderId="20" xfId="2" applyBorder="1"/>
    <xf numFmtId="172" fontId="49" fillId="0" borderId="0" xfId="1940" applyNumberFormat="1" applyFont="1" applyFill="1" applyAlignment="1"/>
    <xf numFmtId="10" fontId="42" fillId="0" borderId="0" xfId="2" applyNumberFormat="1"/>
    <xf numFmtId="170" fontId="62" fillId="0" borderId="76" xfId="2" applyNumberFormat="1" applyFont="1" applyBorder="1"/>
    <xf numFmtId="164" fontId="49" fillId="0" borderId="15" xfId="1940" applyNumberFormat="1" applyFont="1" applyFill="1" applyBorder="1" applyAlignment="1"/>
    <xf numFmtId="167" fontId="49" fillId="0" borderId="0" xfId="2" applyNumberFormat="1" applyFont="1"/>
    <xf numFmtId="170" fontId="42" fillId="0" borderId="14" xfId="2" applyNumberFormat="1" applyBorder="1" applyAlignment="1">
      <alignment horizontal="right"/>
    </xf>
    <xf numFmtId="172" fontId="42" fillId="0" borderId="45" xfId="0" applyNumberFormat="1" applyFont="1" applyBorder="1" applyProtection="1">
      <protection locked="0"/>
    </xf>
    <xf numFmtId="164" fontId="0" fillId="0" borderId="45" xfId="2" applyNumberFormat="1" applyFont="1" applyBorder="1"/>
    <xf numFmtId="170" fontId="42" fillId="0" borderId="16" xfId="2" applyNumberFormat="1" applyBorder="1" applyAlignment="1">
      <alignment horizontal="right"/>
    </xf>
    <xf numFmtId="170" fontId="0" fillId="0" borderId="65" xfId="2" applyNumberFormat="1" applyFont="1" applyBorder="1" applyAlignment="1">
      <alignment horizontal="center"/>
    </xf>
    <xf numFmtId="0" fontId="0" fillId="0" borderId="0" xfId="2" applyFont="1" applyAlignment="1">
      <alignment horizontal="center"/>
    </xf>
    <xf numFmtId="164" fontId="0" fillId="0" borderId="65" xfId="2" applyNumberFormat="1" applyFont="1" applyBorder="1" applyAlignment="1">
      <alignment horizontal="center"/>
    </xf>
    <xf numFmtId="170" fontId="159" fillId="0" borderId="76" xfId="2" applyNumberFormat="1" applyFont="1" applyBorder="1"/>
    <xf numFmtId="170" fontId="160" fillId="0" borderId="14" xfId="2" applyNumberFormat="1" applyFont="1" applyBorder="1"/>
    <xf numFmtId="174" fontId="159" fillId="0" borderId="0" xfId="2" applyNumberFormat="1" applyFont="1"/>
    <xf numFmtId="174" fontId="159" fillId="0" borderId="16" xfId="2" applyNumberFormat="1" applyFont="1" applyBorder="1"/>
    <xf numFmtId="174" fontId="160" fillId="0" borderId="14" xfId="2" applyNumberFormat="1" applyFont="1" applyBorder="1"/>
    <xf numFmtId="164" fontId="0" fillId="0" borderId="22" xfId="2" applyNumberFormat="1" applyFont="1" applyBorder="1"/>
    <xf numFmtId="164" fontId="42" fillId="0" borderId="26" xfId="0" applyFont="1" applyBorder="1"/>
    <xf numFmtId="170" fontId="49" fillId="0" borderId="76" xfId="2" applyNumberFormat="1" applyFont="1" applyBorder="1" applyAlignment="1">
      <alignment horizontal="center"/>
    </xf>
    <xf numFmtId="0" fontId="0" fillId="0" borderId="19" xfId="2" applyFont="1" applyBorder="1"/>
    <xf numFmtId="0" fontId="0" fillId="0" borderId="14" xfId="2" applyFont="1" applyBorder="1"/>
    <xf numFmtId="174" fontId="42" fillId="0" borderId="16" xfId="2" applyNumberFormat="1" applyBorder="1" applyAlignment="1">
      <alignment horizontal="right"/>
    </xf>
    <xf numFmtId="166" fontId="42" fillId="0" borderId="0" xfId="2" applyNumberFormat="1" applyAlignment="1">
      <alignment horizontal="center"/>
    </xf>
    <xf numFmtId="170" fontId="0" fillId="0" borderId="16" xfId="2" applyNumberFormat="1" applyFont="1" applyBorder="1"/>
    <xf numFmtId="170" fontId="42" fillId="0" borderId="11" xfId="2" applyNumberFormat="1" applyBorder="1"/>
    <xf numFmtId="174" fontId="42" fillId="0" borderId="27" xfId="2" applyNumberFormat="1" applyBorder="1" applyAlignment="1">
      <alignment horizontal="center"/>
    </xf>
    <xf numFmtId="164" fontId="49" fillId="0" borderId="0" xfId="2" applyNumberFormat="1" applyFont="1" applyProtection="1">
      <protection locked="0"/>
    </xf>
    <xf numFmtId="164" fontId="49" fillId="0" borderId="69" xfId="2" applyNumberFormat="1" applyFont="1" applyBorder="1" applyProtection="1">
      <protection locked="0"/>
    </xf>
    <xf numFmtId="164" fontId="42" fillId="0" borderId="0" xfId="2" applyNumberFormat="1" applyProtection="1">
      <protection locked="0"/>
    </xf>
    <xf numFmtId="172" fontId="204" fillId="0" borderId="0" xfId="2" applyNumberFormat="1" applyFont="1"/>
    <xf numFmtId="194" fontId="47" fillId="0" borderId="0" xfId="2" applyNumberFormat="1" applyFont="1"/>
    <xf numFmtId="170" fontId="204"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6" fillId="0" borderId="0" xfId="2" applyNumberFormat="1" applyFont="1"/>
    <xf numFmtId="170" fontId="42" fillId="0" borderId="0" xfId="2" applyNumberFormat="1" applyAlignment="1">
      <alignment horizontal="center" vertical="top"/>
    </xf>
    <xf numFmtId="164" fontId="0" fillId="0" borderId="0" xfId="0" applyAlignment="1">
      <alignment horizontal="center"/>
    </xf>
    <xf numFmtId="192" fontId="42" fillId="0" borderId="0" xfId="17924" applyNumberFormat="1" applyFont="1" applyFill="1"/>
    <xf numFmtId="39" fontId="42" fillId="0" borderId="0" xfId="2" applyNumberFormat="1"/>
    <xf numFmtId="192" fontId="159" fillId="0" borderId="0" xfId="17924" applyNumberFormat="1" applyFont="1" applyFill="1" applyAlignment="1">
      <alignment horizontal="right"/>
    </xf>
    <xf numFmtId="192" fontId="159" fillId="0" borderId="0" xfId="17924" quotePrefix="1" applyNumberFormat="1" applyFont="1" applyFill="1" applyAlignment="1">
      <alignment horizontal="right"/>
    </xf>
    <xf numFmtId="192" fontId="159" fillId="0" borderId="0" xfId="17924" quotePrefix="1" applyNumberFormat="1" applyFont="1" applyFill="1" applyAlignment="1">
      <alignment horizontal="center"/>
    </xf>
    <xf numFmtId="192" fontId="160" fillId="0" borderId="0" xfId="17924" applyNumberFormat="1" applyFont="1" applyFill="1" applyAlignment="1">
      <alignment horizontal="right"/>
    </xf>
    <xf numFmtId="170" fontId="49" fillId="0" borderId="49" xfId="2" quotePrefix="1" applyNumberFormat="1" applyFont="1" applyBorder="1" applyAlignment="1">
      <alignment horizontal="center"/>
    </xf>
    <xf numFmtId="170" fontId="63" fillId="0" borderId="0" xfId="2" quotePrefix="1" applyNumberFormat="1" applyFont="1"/>
    <xf numFmtId="17" fontId="49" fillId="0" borderId="0" xfId="2" quotePrefix="1" applyNumberFormat="1" applyFont="1" applyAlignment="1">
      <alignment horizontal="center"/>
    </xf>
    <xf numFmtId="170" fontId="49" fillId="0" borderId="61" xfId="2" applyNumberFormat="1" applyFont="1" applyBorder="1"/>
    <xf numFmtId="170" fontId="49" fillId="0" borderId="45" xfId="2" quotePrefix="1" applyNumberFormat="1" applyFont="1" applyBorder="1" applyAlignment="1">
      <alignment horizontal="center"/>
    </xf>
    <xf numFmtId="15" fontId="49" fillId="0" borderId="0" xfId="2" quotePrefix="1" applyNumberFormat="1" applyFont="1" applyAlignment="1">
      <alignment horizontal="center"/>
    </xf>
    <xf numFmtId="170" fontId="49" fillId="0" borderId="61" xfId="2" quotePrefix="1" applyNumberFormat="1" applyFont="1" applyBorder="1" applyAlignment="1">
      <alignment horizontal="right"/>
    </xf>
    <xf numFmtId="174" fontId="49" fillId="0" borderId="71" xfId="2" applyNumberFormat="1" applyFont="1" applyBorder="1"/>
    <xf numFmtId="174" fontId="67" fillId="0" borderId="0" xfId="2" applyNumberFormat="1" applyFont="1"/>
    <xf numFmtId="0" fontId="68" fillId="0" borderId="45" xfId="2" applyFont="1" applyBorder="1" applyAlignment="1">
      <alignment horizontal="centerContinuous"/>
    </xf>
    <xf numFmtId="192" fontId="42" fillId="0" borderId="45" xfId="0" applyNumberFormat="1" applyFont="1" applyBorder="1"/>
    <xf numFmtId="172" fontId="49" fillId="0" borderId="61" xfId="2" applyNumberFormat="1" applyFont="1" applyBorder="1"/>
    <xf numFmtId="172" fontId="49" fillId="0" borderId="45" xfId="1940" applyNumberFormat="1" applyFont="1" applyFill="1" applyBorder="1" applyAlignment="1" applyProtection="1"/>
    <xf numFmtId="172" fontId="49" fillId="0" borderId="0" xfId="2" applyNumberFormat="1" applyFont="1"/>
    <xf numFmtId="172" fontId="49" fillId="0" borderId="0" xfId="1940" applyNumberFormat="1" applyFont="1" applyFill="1" applyBorder="1" applyAlignment="1" applyProtection="1"/>
    <xf numFmtId="49" fontId="205" fillId="0" borderId="45" xfId="0" quotePrefix="1" applyNumberFormat="1" applyFont="1" applyBorder="1" applyAlignment="1">
      <alignment horizontal="center"/>
    </xf>
    <xf numFmtId="41" fontId="49" fillId="0" borderId="45" xfId="840" applyNumberFormat="1" applyFont="1" applyBorder="1"/>
    <xf numFmtId="42" fontId="49" fillId="0" borderId="51" xfId="840" applyNumberFormat="1" applyFont="1" applyBorder="1"/>
    <xf numFmtId="201" fontId="205" fillId="0" borderId="45" xfId="0" quotePrefix="1" applyNumberFormat="1" applyFont="1" applyBorder="1" applyAlignment="1">
      <alignment horizontal="center"/>
    </xf>
    <xf numFmtId="172" fontId="42" fillId="0" borderId="45" xfId="1940" applyNumberFormat="1" applyFont="1" applyFill="1" applyBorder="1" applyAlignment="1"/>
    <xf numFmtId="14" fontId="47" fillId="0" borderId="0" xfId="740" applyNumberFormat="1" applyFont="1" applyAlignment="1">
      <alignment vertical="center"/>
    </xf>
    <xf numFmtId="192" fontId="42" fillId="0" borderId="0" xfId="2" applyNumberFormat="1" applyAlignment="1">
      <alignment horizontal="right"/>
    </xf>
    <xf numFmtId="44" fontId="176" fillId="0" borderId="0" xfId="25862" applyNumberFormat="1"/>
    <xf numFmtId="174" fontId="49" fillId="0" borderId="0" xfId="4" applyNumberFormat="1" applyFont="1" applyAlignment="1">
      <alignment horizontal="center"/>
    </xf>
    <xf numFmtId="170" fontId="49" fillId="0" borderId="0" xfId="4" applyNumberFormat="1" applyFont="1" applyAlignment="1">
      <alignment horizontal="center"/>
    </xf>
    <xf numFmtId="174" fontId="49" fillId="0" borderId="27" xfId="4" applyNumberFormat="1" applyFont="1" applyBorder="1" applyAlignment="1">
      <alignment horizontal="center"/>
    </xf>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43" fontId="204" fillId="0" borderId="0" xfId="0" applyNumberFormat="1" applyFont="1" applyAlignment="1">
      <alignment horizontal="right"/>
    </xf>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8" fillId="0" borderId="0" xfId="17924"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2" fillId="0" borderId="0" xfId="17924"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4" xfId="0" quotePrefix="1" applyNumberFormat="1" applyFont="1" applyBorder="1" applyAlignment="1">
      <alignment horizontal="center"/>
    </xf>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7" xfId="0" applyNumberFormat="1" applyFont="1" applyBorder="1"/>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18" xfId="0" applyNumberFormat="1"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6" fillId="0" borderId="0" xfId="25862" applyNumberFormat="1"/>
    <xf numFmtId="0" fontId="178" fillId="0" borderId="0" xfId="25862" applyFont="1" applyAlignment="1">
      <alignment horizontal="left"/>
    </xf>
    <xf numFmtId="0" fontId="70" fillId="0" borderId="0" xfId="25862" applyFont="1"/>
    <xf numFmtId="0" fontId="70" fillId="0" borderId="0" xfId="25862" applyFont="1" applyAlignment="1">
      <alignment horizontal="right"/>
    </xf>
    <xf numFmtId="7" fontId="49" fillId="0" borderId="0" xfId="25862" applyNumberFormat="1" applyFont="1" applyAlignment="1">
      <alignment horizontal="center"/>
    </xf>
    <xf numFmtId="7" fontId="42" fillId="0" borderId="0" xfId="25862" applyNumberFormat="1" applyFont="1"/>
    <xf numFmtId="0" fontId="182" fillId="0" borderId="0" xfId="25862" applyFont="1" applyAlignment="1">
      <alignment horizontal="center" wrapText="1"/>
    </xf>
    <xf numFmtId="37" fontId="147" fillId="0" borderId="0" xfId="25863" applyNumberFormat="1" applyFont="1" applyBorder="1">
      <alignment horizontal="right"/>
    </xf>
    <xf numFmtId="37" fontId="42" fillId="0" borderId="0" xfId="25863" applyNumberFormat="1" applyFont="1" applyBorder="1">
      <alignment horizontal="right"/>
    </xf>
    <xf numFmtId="44" fontId="147" fillId="0" borderId="0" xfId="25862" applyNumberFormat="1" applyFont="1" applyAlignment="1">
      <alignment horizontal="left"/>
    </xf>
    <xf numFmtId="43" fontId="42" fillId="0" borderId="0" xfId="0" applyNumberFormat="1" applyFont="1" applyAlignment="1">
      <alignment horizontal="right" wrapText="1"/>
    </xf>
    <xf numFmtId="43" fontId="42" fillId="0" borderId="0" xfId="25871" applyNumberFormat="1" applyFont="1"/>
    <xf numFmtId="44" fontId="53" fillId="0" borderId="0" xfId="25871" applyNumberFormat="1" applyFont="1" applyAlignment="1">
      <alignment horizontal="left"/>
    </xf>
    <xf numFmtId="44" fontId="42" fillId="0" borderId="0" xfId="25871" applyNumberFormat="1" applyFont="1"/>
    <xf numFmtId="171" fontId="110" fillId="0" borderId="0" xfId="25862" applyNumberFormat="1" applyFont="1" applyAlignment="1">
      <alignment horizontal="left"/>
    </xf>
    <xf numFmtId="171" fontId="47" fillId="0" borderId="0" xfId="25862" applyNumberFormat="1" applyFont="1"/>
    <xf numFmtId="43" fontId="42" fillId="0" borderId="0" xfId="25862" applyNumberFormat="1" applyFont="1" applyAlignment="1">
      <alignment horizontal="right" wrapText="1"/>
    </xf>
    <xf numFmtId="43" fontId="42" fillId="0" borderId="0" xfId="25862" applyNumberFormat="1" applyFont="1"/>
    <xf numFmtId="43" fontId="42" fillId="0" borderId="0" xfId="25862" applyNumberFormat="1" applyFont="1" applyAlignment="1">
      <alignment horizontal="left"/>
    </xf>
    <xf numFmtId="44" fontId="42" fillId="0" borderId="0" xfId="0" applyNumberFormat="1" applyFont="1"/>
    <xf numFmtId="43" fontId="159" fillId="0" borderId="0" xfId="25871" applyNumberFormat="1" applyFont="1" applyAlignment="1">
      <alignment horizontal="left"/>
    </xf>
    <xf numFmtId="44" fontId="159" fillId="0" borderId="0" xfId="25871" applyNumberFormat="1" applyFont="1" applyAlignment="1">
      <alignment horizontal="left"/>
    </xf>
    <xf numFmtId="43" fontId="159" fillId="0" borderId="0" xfId="25871" applyNumberFormat="1" applyFont="1"/>
    <xf numFmtId="44" fontId="159" fillId="0" borderId="0" xfId="25871" applyNumberFormat="1" applyFont="1"/>
    <xf numFmtId="43" fontId="110" fillId="0" borderId="0" xfId="25862" applyNumberFormat="1" applyFont="1" applyAlignment="1">
      <alignment horizontal="left"/>
    </xf>
    <xf numFmtId="44" fontId="42" fillId="0" borderId="0" xfId="25862" applyNumberFormat="1" applyFont="1" applyAlignment="1">
      <alignment horizontal="left"/>
    </xf>
    <xf numFmtId="43" fontId="40" fillId="0" borderId="0" xfId="25862" applyNumberFormat="1" applyFont="1" applyAlignment="1">
      <alignment horizontal="left"/>
    </xf>
    <xf numFmtId="43" fontId="47" fillId="0" borderId="0" xfId="25862" applyNumberFormat="1" applyFont="1"/>
    <xf numFmtId="44" fontId="47" fillId="0" borderId="0" xfId="25862" applyNumberFormat="1" applyFont="1"/>
    <xf numFmtId="0" fontId="184" fillId="0" borderId="0" xfId="25862" applyFont="1" applyAlignment="1">
      <alignment horizontal="left"/>
    </xf>
    <xf numFmtId="0" fontId="147" fillId="0" borderId="0" xfId="25863" applyFont="1" applyBorder="1">
      <alignment horizontal="right"/>
    </xf>
    <xf numFmtId="7" fontId="42" fillId="0" borderId="0" xfId="25863" applyNumberFormat="1" applyFont="1" applyBorder="1">
      <alignment horizontal="right"/>
    </xf>
    <xf numFmtId="43" fontId="147" fillId="0" borderId="0" xfId="25862" applyNumberFormat="1" applyFont="1" applyAlignment="1">
      <alignment horizontal="left"/>
    </xf>
    <xf numFmtId="43" fontId="53" fillId="0" borderId="0" xfId="0" applyNumberFormat="1" applyFont="1" applyAlignment="1">
      <alignment horizontal="right" wrapText="1"/>
    </xf>
    <xf numFmtId="43" fontId="53" fillId="0" borderId="0" xfId="25871" applyNumberFormat="1" applyFont="1" applyAlignment="1">
      <alignment horizontal="left"/>
    </xf>
    <xf numFmtId="43" fontId="53" fillId="0" borderId="0" xfId="25875" applyNumberFormat="1" applyFont="1"/>
    <xf numFmtId="43" fontId="53" fillId="0" borderId="0" xfId="25871" applyNumberFormat="1" applyFont="1"/>
    <xf numFmtId="43" fontId="53" fillId="0" borderId="0" xfId="4579" applyNumberFormat="1" applyFont="1" applyAlignment="1">
      <alignment wrapText="1"/>
    </xf>
    <xf numFmtId="37" fontId="42" fillId="0" borderId="0" xfId="25871" applyNumberFormat="1" applyFont="1" applyAlignment="1">
      <alignment horizontal="left"/>
    </xf>
    <xf numFmtId="37" fontId="42" fillId="0" borderId="0" xfId="25871" applyNumberFormat="1" applyFont="1"/>
    <xf numFmtId="0" fontId="203" fillId="0" borderId="0" xfId="25862" applyFont="1" applyAlignment="1">
      <alignment horizontal="left"/>
    </xf>
    <xf numFmtId="7" fontId="47" fillId="0" borderId="0" xfId="25862" applyNumberFormat="1" applyFont="1"/>
    <xf numFmtId="43" fontId="203" fillId="0" borderId="0" xfId="25862" applyNumberFormat="1" applyFont="1" applyAlignment="1">
      <alignment horizontal="left"/>
    </xf>
    <xf numFmtId="44" fontId="203" fillId="0" borderId="0" xfId="25862" applyNumberFormat="1" applyFont="1" applyAlignment="1">
      <alignment horizontal="left"/>
    </xf>
    <xf numFmtId="43" fontId="42" fillId="0" borderId="0" xfId="25871" applyNumberFormat="1" applyFont="1" applyAlignment="1">
      <alignment horizontal="left"/>
    </xf>
    <xf numFmtId="43" fontId="42" fillId="0" borderId="0" xfId="25875" applyNumberFormat="1" applyFont="1" applyAlignment="1">
      <alignment horizontal="right"/>
    </xf>
    <xf numFmtId="43" fontId="42" fillId="0" borderId="0" xfId="25875" applyNumberFormat="1" applyFont="1"/>
    <xf numFmtId="43" fontId="42" fillId="0" borderId="0" xfId="4579" applyNumberFormat="1" applyAlignment="1">
      <alignment wrapText="1"/>
    </xf>
    <xf numFmtId="43" fontId="42" fillId="0" borderId="0" xfId="25862" applyNumberFormat="1" applyFont="1" applyAlignment="1">
      <alignment horizontal="right"/>
    </xf>
    <xf numFmtId="43" fontId="42" fillId="0" borderId="0" xfId="25862" applyNumberFormat="1" applyFont="1" applyAlignment="1">
      <alignment wrapText="1"/>
    </xf>
    <xf numFmtId="43" fontId="53" fillId="0" borderId="0" xfId="25875"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 applyNumberFormat="1" applyFont="1" applyFill="1" applyAlignment="1" applyProtection="1"/>
    <xf numFmtId="0" fontId="70" fillId="0" borderId="0" xfId="2" applyFont="1" applyAlignment="1" applyProtection="1">
      <alignment horizontal="left" vertical="center"/>
      <protection locked="0"/>
    </xf>
    <xf numFmtId="0" fontId="113" fillId="0" borderId="0" xfId="8" quotePrefix="1" applyFont="1" applyAlignment="1">
      <alignment horizontal="left"/>
    </xf>
    <xf numFmtId="44" fontId="42" fillId="0" borderId="0" xfId="25865" applyNumberFormat="1" applyFont="1"/>
    <xf numFmtId="170" fontId="205" fillId="0" borderId="61" xfId="0" applyNumberFormat="1" applyFont="1" applyBorder="1" applyAlignment="1">
      <alignment horizontal="center"/>
    </xf>
    <xf numFmtId="170" fontId="49" fillId="0" borderId="61" xfId="0" applyNumberFormat="1" applyFont="1" applyBorder="1" applyAlignment="1">
      <alignment horizontal="center"/>
    </xf>
    <xf numFmtId="43" fontId="97" fillId="0" borderId="0" xfId="740" applyNumberFormat="1" applyFont="1"/>
    <xf numFmtId="170" fontId="216" fillId="0" borderId="0" xfId="0" applyNumberFormat="1" applyFont="1"/>
    <xf numFmtId="170" fontId="210" fillId="0" borderId="0" xfId="0" applyNumberFormat="1" applyFont="1"/>
    <xf numFmtId="170" fontId="49" fillId="0" borderId="61" xfId="0" applyNumberFormat="1" applyFont="1" applyBorder="1" applyAlignment="1">
      <alignment horizontal="right"/>
    </xf>
    <xf numFmtId="170" fontId="53" fillId="0" borderId="0" xfId="2" applyNumberFormat="1" applyFont="1" applyAlignment="1">
      <alignment horizontal="right"/>
    </xf>
    <xf numFmtId="170" fontId="147" fillId="0" borderId="0" xfId="2" applyNumberFormat="1" applyFont="1"/>
    <xf numFmtId="44" fontId="42" fillId="0" borderId="0" xfId="25862" applyNumberFormat="1" applyFont="1"/>
    <xf numFmtId="177" fontId="42" fillId="0" borderId="0" xfId="0" applyNumberFormat="1" applyFont="1" applyAlignment="1">
      <alignment horizontal="center"/>
    </xf>
    <xf numFmtId="177" fontId="0" fillId="0" borderId="0" xfId="0" applyNumberFormat="1"/>
    <xf numFmtId="184" fontId="65" fillId="0" borderId="64" xfId="836" applyNumberFormat="1" applyFont="1" applyBorder="1" applyAlignment="1">
      <alignment horizontal="right"/>
    </xf>
    <xf numFmtId="177" fontId="65" fillId="0" borderId="10" xfId="1767" applyNumberFormat="1" applyFont="1" applyBorder="1" applyAlignment="1">
      <alignment horizontal="right"/>
    </xf>
    <xf numFmtId="42" fontId="42" fillId="0" borderId="0" xfId="5458" applyNumberFormat="1" applyAlignment="1">
      <alignment horizontal="right"/>
    </xf>
    <xf numFmtId="41" fontId="63" fillId="0" borderId="0" xfId="5488" applyNumberFormat="1" applyFont="1" applyAlignment="1">
      <alignment horizontal="right"/>
    </xf>
    <xf numFmtId="170" fontId="205" fillId="0" borderId="45" xfId="2" applyNumberFormat="1" applyFont="1" applyBorder="1" applyAlignment="1">
      <alignment horizontal="right"/>
    </xf>
    <xf numFmtId="174" fontId="204" fillId="0" borderId="0" xfId="2" applyNumberFormat="1" applyFont="1"/>
    <xf numFmtId="170" fontId="49" fillId="0" borderId="45" xfId="0" applyNumberFormat="1" applyFont="1" applyBorder="1" applyAlignment="1">
      <alignment horizontal="center"/>
    </xf>
    <xf numFmtId="192" fontId="49" fillId="0" borderId="0" xfId="2" applyNumberFormat="1" applyFont="1"/>
    <xf numFmtId="170" fontId="42" fillId="0" borderId="45" xfId="2" quotePrefix="1" applyNumberFormat="1" applyBorder="1" applyAlignment="1">
      <alignment horizontal="right"/>
    </xf>
    <xf numFmtId="170" fontId="49" fillId="0" borderId="45" xfId="2" quotePrefix="1" applyNumberFormat="1" applyFont="1" applyBorder="1" applyAlignment="1">
      <alignment horizontal="right"/>
    </xf>
    <xf numFmtId="192" fontId="42" fillId="0" borderId="0" xfId="17924" applyNumberFormat="1" applyFont="1" applyFill="1" applyAlignment="1">
      <alignment horizontal="right"/>
    </xf>
    <xf numFmtId="192" fontId="49" fillId="0" borderId="61" xfId="17924" applyNumberFormat="1" applyFont="1" applyFill="1" applyBorder="1" applyAlignment="1">
      <alignment horizontal="right"/>
    </xf>
    <xf numFmtId="192" fontId="49" fillId="0" borderId="45" xfId="17924"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24" quotePrefix="1" applyNumberFormat="1" applyFont="1" applyFill="1" applyAlignment="1">
      <alignment horizontal="right"/>
    </xf>
    <xf numFmtId="174" fontId="147" fillId="0" borderId="0" xfId="5517" applyNumberFormat="1" applyFont="1"/>
    <xf numFmtId="174" fontId="49" fillId="0" borderId="0" xfId="2" quotePrefix="1" applyNumberFormat="1" applyFont="1" applyAlignment="1">
      <alignment horizontal="center"/>
    </xf>
    <xf numFmtId="0" fontId="49" fillId="0" borderId="16" xfId="2" applyFont="1" applyBorder="1" applyAlignment="1">
      <alignment horizontal="center"/>
    </xf>
    <xf numFmtId="170" fontId="204" fillId="0" borderId="16" xfId="2" applyNumberFormat="1" applyFont="1" applyBorder="1" applyAlignment="1">
      <alignment horizontal="right"/>
    </xf>
    <xf numFmtId="166" fontId="42" fillId="0" borderId="0" xfId="5517" applyNumberFormat="1" applyFont="1"/>
    <xf numFmtId="174" fontId="49" fillId="0" borderId="0" xfId="5517" applyNumberFormat="1" applyFont="1"/>
    <xf numFmtId="170" fontId="42" fillId="0" borderId="0" xfId="1" quotePrefix="1" applyNumberFormat="1" applyFont="1" applyFill="1" applyAlignment="1"/>
    <xf numFmtId="170" fontId="42" fillId="0" borderId="72" xfId="2" applyNumberFormat="1" applyBorder="1"/>
    <xf numFmtId="0" fontId="40" fillId="0" borderId="0" xfId="25865" applyFont="1" applyAlignment="1">
      <alignment horizontal="left"/>
    </xf>
    <xf numFmtId="0" fontId="53" fillId="0" borderId="0" xfId="25865" applyFont="1" applyAlignment="1">
      <alignment horizontal="left"/>
    </xf>
    <xf numFmtId="43" fontId="40" fillId="0" borderId="0" xfId="25865" applyNumberFormat="1" applyFont="1" applyAlignment="1">
      <alignment horizontal="left"/>
    </xf>
    <xf numFmtId="43" fontId="53" fillId="0" borderId="0" xfId="25865" applyNumberFormat="1" applyFont="1" applyAlignment="1">
      <alignment horizontal="left"/>
    </xf>
    <xf numFmtId="0" fontId="228" fillId="0" borderId="0" xfId="25862" applyFont="1" applyAlignment="1">
      <alignment horizontal="left"/>
    </xf>
    <xf numFmtId="0" fontId="229" fillId="0" borderId="0" xfId="25862" applyFont="1" applyAlignment="1">
      <alignment horizontal="left"/>
    </xf>
    <xf numFmtId="43" fontId="49" fillId="0" borderId="0" xfId="0" applyNumberFormat="1" applyFont="1" applyAlignment="1">
      <alignment vertical="top" wrapText="1"/>
    </xf>
    <xf numFmtId="43" fontId="147" fillId="0" borderId="0" xfId="25865" applyNumberFormat="1" applyFont="1" applyAlignment="1">
      <alignment horizontal="left"/>
    </xf>
    <xf numFmtId="43" fontId="42" fillId="0" borderId="0" xfId="25865" applyNumberFormat="1" applyFont="1"/>
    <xf numFmtId="43" fontId="42" fillId="0" borderId="0" xfId="25863" applyNumberFormat="1" applyFont="1" applyBorder="1">
      <alignment horizontal="right"/>
    </xf>
    <xf numFmtId="43" fontId="228" fillId="0" borderId="0" xfId="25862" applyNumberFormat="1" applyFont="1" applyAlignment="1">
      <alignment horizontal="left"/>
    </xf>
    <xf numFmtId="185" fontId="205" fillId="0" borderId="45" xfId="0" quotePrefix="1" applyNumberFormat="1" applyFont="1" applyBorder="1" applyAlignment="1">
      <alignment horizontal="center"/>
    </xf>
    <xf numFmtId="174" fontId="49" fillId="0" borderId="0" xfId="0" applyNumberFormat="1" applyFont="1" applyAlignment="1">
      <alignment horizontal="center"/>
    </xf>
    <xf numFmtId="43" fontId="42" fillId="0" borderId="0" xfId="9049" applyFont="1" applyFill="1" applyAlignment="1" applyProtection="1">
      <alignment horizontal="right"/>
    </xf>
    <xf numFmtId="43" fontId="53" fillId="0" borderId="0" xfId="1767" applyNumberFormat="1" applyFont="1" applyAlignment="1">
      <alignment horizontal="right"/>
    </xf>
    <xf numFmtId="192" fontId="45" fillId="0" borderId="0" xfId="0" applyNumberFormat="1" applyFont="1"/>
    <xf numFmtId="192" fontId="42" fillId="0" borderId="0" xfId="0" applyNumberFormat="1" applyFont="1"/>
    <xf numFmtId="192" fontId="159" fillId="0" borderId="0" xfId="0" applyNumberFormat="1" applyFont="1"/>
    <xf numFmtId="192" fontId="160" fillId="0" borderId="0" xfId="0" applyNumberFormat="1" applyFont="1" applyAlignment="1">
      <alignment horizontal="right"/>
    </xf>
    <xf numFmtId="192" fontId="160" fillId="0" borderId="0" xfId="0" applyNumberFormat="1" applyFont="1"/>
    <xf numFmtId="192" fontId="159" fillId="0" borderId="0" xfId="0" applyNumberFormat="1" applyFont="1" applyAlignment="1">
      <alignment horizontal="center"/>
    </xf>
    <xf numFmtId="166" fontId="212" fillId="0" borderId="0" xfId="0" applyNumberFormat="1" applyFont="1" applyAlignment="1">
      <alignment horizontal="left"/>
    </xf>
    <xf numFmtId="164" fontId="204" fillId="0" borderId="0" xfId="0" applyFont="1" applyAlignment="1">
      <alignment horizontal="left"/>
    </xf>
    <xf numFmtId="164" fontId="213" fillId="0" borderId="0" xfId="0" applyFont="1" applyAlignment="1">
      <alignment horizontal="left"/>
    </xf>
    <xf numFmtId="166" fontId="205" fillId="0" borderId="45" xfId="0" applyNumberFormat="1" applyFont="1" applyBorder="1" applyAlignment="1">
      <alignment horizontal="left"/>
    </xf>
    <xf numFmtId="164" fontId="204"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2" applyFont="1" applyAlignment="1">
      <alignment horizontal="right"/>
    </xf>
    <xf numFmtId="0" fontId="49" fillId="0" borderId="0" xfId="2" applyFont="1" applyAlignment="1">
      <alignment horizontal="left"/>
    </xf>
    <xf numFmtId="0" fontId="49" fillId="0" borderId="45" xfId="2" applyFont="1" applyBorder="1" applyAlignment="1">
      <alignment horizontal="center"/>
    </xf>
    <xf numFmtId="0" fontId="70" fillId="0" borderId="0" xfId="2" applyFont="1" applyAlignment="1" applyProtection="1">
      <alignment vertical="center"/>
      <protection locked="0"/>
    </xf>
    <xf numFmtId="0" fontId="0" fillId="0" borderId="0" xfId="2" applyFont="1" applyAlignment="1">
      <alignment vertical="center"/>
    </xf>
    <xf numFmtId="0" fontId="49" fillId="33" borderId="45" xfId="2" applyFont="1" applyFill="1" applyBorder="1" applyAlignment="1">
      <alignment horizontal="center"/>
    </xf>
    <xf numFmtId="0" fontId="70" fillId="0" borderId="0" xfId="2" applyFont="1"/>
    <xf numFmtId="0" fontId="0" fillId="0" borderId="0" xfId="2" applyFont="1"/>
    <xf numFmtId="0" fontId="70" fillId="0" borderId="0" xfId="2" applyFont="1" applyProtection="1">
      <protection locked="0"/>
    </xf>
    <xf numFmtId="166" fontId="77" fillId="0" borderId="0" xfId="2" applyNumberFormat="1" applyFont="1" applyAlignment="1">
      <alignment horizontal="right"/>
    </xf>
    <xf numFmtId="0" fontId="42" fillId="0" borderId="0" xfId="2"/>
    <xf numFmtId="0" fontId="49" fillId="0" borderId="45" xfId="2" quotePrefix="1" applyFont="1" applyBorder="1" applyAlignment="1">
      <alignment horizontal="center"/>
    </xf>
    <xf numFmtId="166" fontId="49" fillId="0" borderId="45" xfId="2" applyNumberFormat="1" applyFont="1" applyBorder="1" applyAlignment="1">
      <alignment horizontal="center"/>
    </xf>
    <xf numFmtId="49" fontId="49" fillId="0" borderId="45" xfId="2" quotePrefix="1" applyNumberFormat="1" applyFont="1" applyBorder="1" applyAlignment="1">
      <alignment horizontal="center"/>
    </xf>
    <xf numFmtId="0" fontId="48" fillId="0" borderId="0" xfId="4" quotePrefix="1" applyFont="1" applyAlignment="1">
      <alignment horizontal="right"/>
    </xf>
    <xf numFmtId="0" fontId="86" fillId="0" borderId="0" xfId="4"/>
    <xf numFmtId="0" fontId="49" fillId="0" borderId="0" xfId="2" quotePrefix="1" applyFont="1" applyAlignment="1">
      <alignment horizontal="center"/>
    </xf>
    <xf numFmtId="180" fontId="83" fillId="0" borderId="0" xfId="1776" quotePrefix="1" applyNumberFormat="1" applyFont="1" applyAlignment="1">
      <alignment horizontal="justify" vertical="top"/>
    </xf>
    <xf numFmtId="180" fontId="83" fillId="0" borderId="0" xfId="1776" quotePrefix="1" applyNumberFormat="1" applyFont="1" applyAlignment="1">
      <alignment horizontal="justify" vertical="top" wrapText="1"/>
    </xf>
    <xf numFmtId="180" fontId="49" fillId="0" borderId="0" xfId="1776" quotePrefix="1" applyNumberFormat="1" applyFont="1" applyAlignment="1">
      <alignment horizontal="left" vertical="distributed" wrapText="1"/>
    </xf>
    <xf numFmtId="0" fontId="48" fillId="0" borderId="45" xfId="9967" applyFont="1" applyBorder="1" applyAlignment="1">
      <alignment horizontal="center"/>
    </xf>
    <xf numFmtId="0" fontId="42" fillId="0" borderId="0" xfId="17" applyNumberFormat="1" applyAlignment="1">
      <alignment horizontal="left" wrapText="1"/>
    </xf>
    <xf numFmtId="0" fontId="65" fillId="0" borderId="30" xfId="739" applyFont="1" applyBorder="1" applyAlignment="1">
      <alignment horizontal="justify" vertical="center" wrapText="1"/>
    </xf>
    <xf numFmtId="0" fontId="65" fillId="0" borderId="31" xfId="739" applyFont="1" applyBorder="1" applyAlignment="1">
      <alignment horizontal="justify" vertical="center" wrapText="1"/>
    </xf>
    <xf numFmtId="0" fontId="65" fillId="0" borderId="32" xfId="739" applyFont="1" applyBorder="1" applyAlignment="1">
      <alignment horizontal="justify" vertical="center" wrapText="1"/>
    </xf>
    <xf numFmtId="0" fontId="65" fillId="0" borderId="33" xfId="739" applyFont="1" applyBorder="1" applyAlignment="1">
      <alignment horizontal="justify" vertical="center" wrapText="1"/>
    </xf>
    <xf numFmtId="0" fontId="65" fillId="0" borderId="0" xfId="739" applyFont="1" applyAlignment="1">
      <alignment horizontal="justify" vertical="center" wrapText="1"/>
    </xf>
    <xf numFmtId="0" fontId="65" fillId="0" borderId="24" xfId="739" applyFont="1" applyBorder="1" applyAlignment="1">
      <alignment horizontal="justify" vertical="center" wrapText="1"/>
    </xf>
    <xf numFmtId="0" fontId="65" fillId="0" borderId="34" xfId="739" applyFont="1" applyBorder="1" applyAlignment="1">
      <alignment horizontal="justify" vertical="center" wrapText="1"/>
    </xf>
    <xf numFmtId="0" fontId="65" fillId="0" borderId="29" xfId="739" applyFont="1" applyBorder="1" applyAlignment="1">
      <alignment horizontal="justify" vertical="center" wrapText="1"/>
    </xf>
    <xf numFmtId="0" fontId="65" fillId="0" borderId="35" xfId="739" applyFont="1" applyBorder="1" applyAlignment="1">
      <alignment horizontal="justify" vertical="center" wrapText="1"/>
    </xf>
    <xf numFmtId="17" fontId="49" fillId="0" borderId="45" xfId="25862" quotePrefix="1" applyNumberFormat="1" applyFont="1" applyBorder="1" applyAlignment="1">
      <alignment horizontal="center"/>
    </xf>
    <xf numFmtId="7" fontId="49" fillId="0" borderId="45" xfId="25862" applyNumberFormat="1" applyFont="1" applyBorder="1" applyAlignment="1">
      <alignment horizontal="center"/>
    </xf>
    <xf numFmtId="17" fontId="49" fillId="0" borderId="10" xfId="25862" quotePrefix="1" applyNumberFormat="1" applyFont="1" applyBorder="1" applyAlignment="1">
      <alignment horizontal="center"/>
    </xf>
    <xf numFmtId="7" fontId="49" fillId="0" borderId="10" xfId="25862" applyNumberFormat="1" applyFont="1" applyBorder="1" applyAlignment="1">
      <alignment horizontal="center"/>
    </xf>
  </cellXfs>
  <cellStyles count="49860">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18" xfId="49834" xr:uid="{7D800DB0-F38D-489D-ADC5-85D4954F7D0F}"/>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14" xfId="49848" xr:uid="{E2981D07-4015-4241-8EA5-F279D23DED83}"/>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18" xfId="49836" xr:uid="{5E272441-C727-4E64-8C64-1AA74DACAC2B}"/>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14" xfId="49850" xr:uid="{6179E35A-8423-402B-A005-8C69CED0649E}"/>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18" xfId="49838" xr:uid="{5CBDACA4-1F40-4CDD-A77B-30B011A6FA89}"/>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14" xfId="49852" xr:uid="{C6E1ACED-9F8C-42E2-A85D-E0E0E14935F9}"/>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18" xfId="49840" xr:uid="{6A018B24-7192-4500-A593-FB594C4ADE11}"/>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14" xfId="49854" xr:uid="{BDD705F9-D2E7-481E-9F24-9D6CB17DA704}"/>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18" xfId="49842" xr:uid="{3045C7DC-1FA6-42D8-A310-8D5F0E8875EB}"/>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14" xfId="49856" xr:uid="{7B5E354F-BA11-4793-A505-2976A6B591AE}"/>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18" xfId="49844" xr:uid="{7FCBD935-0F24-4688-A961-802B36523797}"/>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14" xfId="49858" xr:uid="{419E4A75-AE58-4ED3-AE8A-164A07E96F45}"/>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18" xfId="49835" xr:uid="{8753501D-D411-4F07-854B-A9B0F447B2DA}"/>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14" xfId="49849" xr:uid="{FBE15D05-F5DA-48A6-B9AE-8D6635C79801}"/>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18" xfId="49837" xr:uid="{35F7D7A2-E004-49C0-A3FF-68E26B6E4697}"/>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14" xfId="49851" xr:uid="{4F866B39-BDBE-4E85-AB0C-9A5DA19838CA}"/>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18" xfId="49839" xr:uid="{4BF84331-B3E6-48AD-9E6C-B74C0D149D2E}"/>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14" xfId="49853" xr:uid="{7D0DF1D4-680D-4752-9644-44106F53D062}"/>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18" xfId="49841" xr:uid="{E259418A-DF69-43A4-86F2-EF9B61F57B64}"/>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14" xfId="49855" xr:uid="{16AFE9F0-2619-4DA2-A356-C7850FDBC141}"/>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18" xfId="49843" xr:uid="{F0528C20-3D50-4CFD-BB33-9F9A31D42B53}"/>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14" xfId="49857" xr:uid="{AE82E4A0-B55D-41CD-9AAA-C7A0B76BACFE}"/>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18" xfId="49845" xr:uid="{B053EFAF-C35E-4EDC-9D6A-BFC5E9CAB3EB}"/>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14" xfId="49859" xr:uid="{6C5944FF-C688-4D9B-A4C2-7B16B905B80F}"/>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62" xfId="49832" xr:uid="{B34CF199-254D-4CBD-A328-5E9B29B8025B}"/>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 5" xfId="49833" xr:uid="{A6CAE701-5986-412A-B9D2-3D3EF86F7C09}"/>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A 2" xfId="49846" xr:uid="{DABF9478-ABC1-43BE-8EA0-4E827A71B562}"/>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A 2" xfId="49847" xr:uid="{D1F025BA-102A-42E8-AD04-8D68630742F4}"/>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0000FF"/>
      <color rgb="FFCCCCFF"/>
      <color rgb="FFCCFFCC"/>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21456</xdr:colOff>
      <xdr:row>0</xdr:row>
      <xdr:rowOff>0</xdr:rowOff>
    </xdr:from>
    <xdr:to>
      <xdr:col>1</xdr:col>
      <xdr:colOff>1320666</xdr:colOff>
      <xdr:row>7</xdr:row>
      <xdr:rowOff>163830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21456" y="0"/>
          <a:ext cx="1470660" cy="15068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39</xdr:row>
      <xdr:rowOff>0</xdr:rowOff>
    </xdr:from>
    <xdr:to>
      <xdr:col>5</xdr:col>
      <xdr:colOff>1276350</xdr:colOff>
      <xdr:row>39</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69140625" defaultRowHeight="12.5"/>
  <cols>
    <col min="1" max="1" width="2.07421875" style="246" customWidth="1"/>
    <col min="2" max="2" width="22.69140625" style="246" customWidth="1"/>
    <col min="3" max="3" width="6" style="246" customWidth="1"/>
    <col min="4" max="4" width="24.07421875" style="246" customWidth="1"/>
    <col min="5" max="6" width="12.4609375" style="246" customWidth="1"/>
    <col min="7" max="7" width="4" style="246" customWidth="1"/>
    <col min="8" max="8" width="12.4609375" style="246" customWidth="1"/>
    <col min="9" max="9" width="12" style="246" customWidth="1"/>
    <col min="10" max="10" width="3.69140625" style="246" customWidth="1"/>
    <col min="11" max="11" width="28.4609375" style="246" customWidth="1"/>
    <col min="12" max="16384" width="8.69140625" style="246"/>
  </cols>
  <sheetData>
    <row r="1" spans="1:11" s="243" customFormat="1" ht="13">
      <c r="A1" s="241"/>
      <c r="B1" s="241"/>
      <c r="C1" s="241"/>
      <c r="D1" s="241"/>
      <c r="E1" s="241"/>
      <c r="F1" s="241"/>
      <c r="G1" s="241"/>
      <c r="H1" s="241"/>
      <c r="I1" s="241"/>
      <c r="J1" s="242"/>
    </row>
    <row r="2" spans="1:11" s="243" customFormat="1" ht="13">
      <c r="A2" s="241"/>
      <c r="B2" s="241"/>
      <c r="C2" s="241"/>
      <c r="D2" s="241"/>
      <c r="E2" s="241"/>
      <c r="F2" s="241"/>
      <c r="G2" s="241"/>
      <c r="H2" s="241"/>
      <c r="I2" s="241"/>
      <c r="J2" s="242"/>
    </row>
    <row r="3" spans="1:11" s="243" customFormat="1" ht="13">
      <c r="A3" s="241"/>
      <c r="B3" s="241"/>
      <c r="C3" s="241"/>
      <c r="D3" s="241"/>
      <c r="E3" s="241"/>
      <c r="F3" s="241"/>
      <c r="G3" s="241"/>
      <c r="H3" s="241"/>
      <c r="I3" s="241"/>
      <c r="J3" s="242"/>
    </row>
    <row r="4" spans="1:11" s="243" customFormat="1" ht="13">
      <c r="A4" s="241" t="s">
        <v>0</v>
      </c>
      <c r="B4" s="241"/>
      <c r="C4" s="241"/>
      <c r="D4" s="241"/>
      <c r="E4" s="241"/>
      <c r="F4" s="241"/>
      <c r="G4" s="241"/>
      <c r="H4" s="241"/>
      <c r="I4" s="337" t="s">
        <v>1</v>
      </c>
      <c r="J4" s="242"/>
    </row>
    <row r="5" spans="1:11" ht="18">
      <c r="A5" s="241" t="s">
        <v>2</v>
      </c>
      <c r="B5" s="244"/>
      <c r="C5" s="244"/>
      <c r="D5" s="244"/>
      <c r="E5" s="244"/>
      <c r="F5" s="244"/>
      <c r="G5" s="244"/>
      <c r="H5" s="244"/>
      <c r="I5" s="337" t="s">
        <v>3</v>
      </c>
      <c r="J5" s="245"/>
    </row>
    <row r="6" spans="1:11" ht="18">
      <c r="A6" s="241" t="s">
        <v>4</v>
      </c>
      <c r="B6" s="244"/>
      <c r="C6" s="244"/>
      <c r="D6" s="244"/>
      <c r="E6" s="244"/>
      <c r="F6" s="244"/>
      <c r="G6" s="244"/>
      <c r="H6" s="244"/>
      <c r="I6" s="244"/>
      <c r="J6" s="245"/>
    </row>
    <row r="7" spans="1:11" ht="18">
      <c r="A7" s="241" t="s">
        <v>5</v>
      </c>
      <c r="B7" s="244"/>
      <c r="C7" s="244"/>
      <c r="D7" s="244"/>
      <c r="E7" s="244"/>
      <c r="F7" s="244"/>
      <c r="G7" s="244"/>
      <c r="H7" s="244"/>
      <c r="I7" s="244"/>
      <c r="J7" s="245"/>
    </row>
    <row r="8" spans="1:11" ht="18.5" thickBot="1">
      <c r="A8" s="244"/>
      <c r="B8" s="244"/>
      <c r="C8" s="244"/>
      <c r="D8" s="244"/>
      <c r="E8" s="244"/>
      <c r="F8" s="244"/>
      <c r="G8" s="244"/>
      <c r="H8" s="244"/>
      <c r="I8" s="244"/>
      <c r="J8" s="245"/>
    </row>
    <row r="9" spans="1:11" ht="18.5" thickTop="1">
      <c r="A9" s="247" t="s">
        <v>6</v>
      </c>
      <c r="B9" s="248"/>
      <c r="C9" s="248"/>
      <c r="D9" s="248"/>
      <c r="E9" s="248"/>
      <c r="F9" s="248"/>
      <c r="G9" s="248"/>
      <c r="H9" s="248"/>
      <c r="I9" s="248"/>
      <c r="J9" s="249"/>
    </row>
    <row r="10" spans="1:11" ht="18.5" thickBot="1">
      <c r="A10" s="566" t="str">
        <f>_xlfn.TEXTAFTER('Exh D Governmental  '!A6," ",4)</f>
        <v>FEBRUARY 28, 2025</v>
      </c>
      <c r="B10" s="244"/>
      <c r="C10" s="244"/>
      <c r="D10" s="244"/>
      <c r="E10" s="244"/>
      <c r="F10" s="244"/>
      <c r="G10" s="244"/>
      <c r="H10" s="244"/>
      <c r="I10" s="244"/>
      <c r="J10" s="249"/>
      <c r="K10" s="1559"/>
    </row>
    <row r="11" spans="1:11" ht="18.5" thickTop="1">
      <c r="A11" s="250"/>
      <c r="B11" s="251"/>
      <c r="C11" s="251"/>
      <c r="D11" s="251"/>
      <c r="E11" s="251"/>
      <c r="F11" s="251"/>
      <c r="G11" s="251"/>
      <c r="H11" s="251"/>
      <c r="I11" s="251"/>
      <c r="J11" s="252"/>
      <c r="K11" s="1559"/>
    </row>
    <row r="12" spans="1:11" ht="13">
      <c r="A12" s="241" t="s">
        <v>7</v>
      </c>
      <c r="B12" s="244"/>
      <c r="C12" s="244"/>
      <c r="D12" s="244"/>
      <c r="E12" s="241"/>
      <c r="F12" s="241"/>
      <c r="G12" s="241"/>
      <c r="H12" s="244"/>
      <c r="I12" s="244"/>
      <c r="J12" s="253"/>
    </row>
    <row r="13" spans="1:11" ht="13">
      <c r="A13" s="243"/>
      <c r="J13" s="253"/>
    </row>
    <row r="14" spans="1:11" ht="13">
      <c r="A14" s="243" t="s">
        <v>8</v>
      </c>
      <c r="B14" s="256"/>
      <c r="J14" s="254"/>
    </row>
    <row r="15" spans="1:11" ht="13">
      <c r="A15" s="243"/>
      <c r="B15" s="281"/>
      <c r="J15" s="254"/>
    </row>
    <row r="16" spans="1:11" ht="13">
      <c r="A16" s="243"/>
      <c r="B16" s="529" t="s">
        <v>9</v>
      </c>
      <c r="D16" s="255" t="s">
        <v>10</v>
      </c>
      <c r="F16" s="256"/>
      <c r="J16" s="282">
        <v>2</v>
      </c>
    </row>
    <row r="17" spans="1:11" ht="13">
      <c r="A17" s="243"/>
      <c r="B17" s="529" t="s">
        <v>11</v>
      </c>
      <c r="D17" s="246" t="s">
        <v>12</v>
      </c>
      <c r="E17" s="1124"/>
      <c r="F17" s="1125"/>
      <c r="G17" s="1124"/>
      <c r="H17" s="1124"/>
      <c r="I17" s="1124"/>
      <c r="J17" s="282">
        <v>3</v>
      </c>
    </row>
    <row r="18" spans="1:11" ht="13">
      <c r="A18" s="258"/>
      <c r="B18" s="524" t="s">
        <v>13</v>
      </c>
      <c r="D18" s="1007" t="s">
        <v>14</v>
      </c>
      <c r="E18" s="255"/>
      <c r="F18" s="255"/>
      <c r="G18" s="255"/>
      <c r="H18" s="255"/>
      <c r="I18" s="255"/>
      <c r="J18" s="282">
        <v>4</v>
      </c>
    </row>
    <row r="19" spans="1:11" ht="13">
      <c r="A19" s="243"/>
      <c r="B19" s="524" t="s">
        <v>15</v>
      </c>
      <c r="D19" s="1008" t="s">
        <v>16</v>
      </c>
      <c r="E19" s="1008"/>
      <c r="F19" s="1008"/>
      <c r="G19" s="1008"/>
      <c r="H19" s="1008"/>
      <c r="I19" s="1008"/>
      <c r="J19" s="282">
        <v>6</v>
      </c>
    </row>
    <row r="20" spans="1:11" ht="13">
      <c r="A20" s="243"/>
      <c r="B20" s="524" t="s">
        <v>17</v>
      </c>
      <c r="D20" s="1008" t="s">
        <v>18</v>
      </c>
      <c r="E20" s="1008"/>
      <c r="F20" s="1008"/>
      <c r="G20" s="1008"/>
      <c r="H20" s="1008"/>
      <c r="I20" s="1008"/>
      <c r="J20" s="282">
        <v>7</v>
      </c>
    </row>
    <row r="21" spans="1:11" ht="13">
      <c r="A21" s="243"/>
      <c r="B21" s="529" t="s">
        <v>19</v>
      </c>
      <c r="D21" s="1007" t="s">
        <v>20</v>
      </c>
      <c r="E21" s="1008"/>
      <c r="F21" s="1008"/>
      <c r="G21" s="1008"/>
      <c r="H21" s="1008"/>
      <c r="I21" s="1008"/>
      <c r="J21" s="282">
        <v>8</v>
      </c>
    </row>
    <row r="22" spans="1:11" ht="13">
      <c r="A22" s="243"/>
      <c r="B22" s="524" t="s">
        <v>21</v>
      </c>
      <c r="D22" s="1007" t="s">
        <v>22</v>
      </c>
      <c r="E22" s="1008"/>
      <c r="F22" s="1008"/>
      <c r="G22" s="1008"/>
      <c r="H22" s="1008"/>
      <c r="I22" s="1008"/>
      <c r="J22" s="282">
        <v>9</v>
      </c>
    </row>
    <row r="23" spans="1:11" ht="13">
      <c r="A23" s="243"/>
      <c r="B23" s="529" t="s">
        <v>23</v>
      </c>
      <c r="D23" s="1007" t="s">
        <v>24</v>
      </c>
      <c r="E23" s="1008"/>
      <c r="F23" s="1008"/>
      <c r="G23" s="1008"/>
      <c r="H23" s="1008"/>
      <c r="I23" s="1008"/>
      <c r="J23" s="282">
        <v>10</v>
      </c>
    </row>
    <row r="24" spans="1:11" ht="13">
      <c r="A24" s="243"/>
      <c r="B24" s="524" t="s">
        <v>25</v>
      </c>
      <c r="D24" s="1007" t="s">
        <v>26</v>
      </c>
      <c r="E24" s="1008"/>
      <c r="F24" s="1008"/>
      <c r="G24" s="1008"/>
      <c r="H24" s="1008"/>
      <c r="I24" s="1008"/>
      <c r="J24" s="282">
        <v>11</v>
      </c>
    </row>
    <row r="25" spans="1:11" ht="13">
      <c r="A25" s="243"/>
      <c r="B25" s="524" t="s">
        <v>27</v>
      </c>
      <c r="D25" s="1007" t="s">
        <v>28</v>
      </c>
      <c r="E25" s="1008"/>
      <c r="F25" s="1008"/>
      <c r="G25" s="1008"/>
      <c r="H25" s="1008"/>
      <c r="I25" s="1008"/>
      <c r="J25" s="282">
        <v>12</v>
      </c>
    </row>
    <row r="26" spans="1:11" ht="13">
      <c r="A26" s="243"/>
      <c r="B26" s="524" t="s">
        <v>29</v>
      </c>
      <c r="D26" s="1007" t="s">
        <v>30</v>
      </c>
      <c r="E26" s="1008"/>
      <c r="F26" s="1008"/>
      <c r="G26" s="1008"/>
      <c r="H26" s="1008"/>
      <c r="I26" s="1008"/>
      <c r="J26" s="282">
        <v>13</v>
      </c>
    </row>
    <row r="27" spans="1:11" ht="13">
      <c r="A27" s="243"/>
      <c r="B27" s="524" t="s">
        <v>31</v>
      </c>
      <c r="D27" s="1007" t="s">
        <v>32</v>
      </c>
      <c r="E27" s="1008"/>
      <c r="F27" s="1008"/>
      <c r="G27" s="1008"/>
      <c r="H27" s="1008"/>
      <c r="I27" s="1008"/>
      <c r="J27" s="282">
        <v>14</v>
      </c>
    </row>
    <row r="28" spans="1:11" ht="13">
      <c r="A28" s="243"/>
      <c r="B28" s="524" t="s">
        <v>33</v>
      </c>
      <c r="D28" s="1007" t="s">
        <v>34</v>
      </c>
      <c r="E28" s="1008"/>
      <c r="F28" s="1008"/>
      <c r="G28" s="1008"/>
      <c r="H28" s="1008"/>
      <c r="I28" s="1008"/>
      <c r="J28" s="282">
        <v>15</v>
      </c>
    </row>
    <row r="29" spans="1:11" ht="13">
      <c r="A29" s="243"/>
      <c r="B29" s="524" t="s">
        <v>35</v>
      </c>
      <c r="D29" s="259" t="s">
        <v>36</v>
      </c>
      <c r="E29" s="1008"/>
      <c r="F29" s="1008"/>
      <c r="G29" s="1008"/>
      <c r="H29" s="1008"/>
      <c r="I29" s="1008"/>
      <c r="J29" s="282">
        <v>16</v>
      </c>
    </row>
    <row r="30" spans="1:11" ht="13">
      <c r="A30" s="243"/>
      <c r="B30" s="529" t="s">
        <v>37</v>
      </c>
      <c r="D30" s="1007" t="s">
        <v>38</v>
      </c>
      <c r="E30" s="1007"/>
      <c r="F30" s="1007"/>
      <c r="G30" s="1007"/>
      <c r="H30" s="1007"/>
      <c r="I30" s="1007"/>
      <c r="J30" s="282">
        <v>17</v>
      </c>
      <c r="K30" s="243"/>
    </row>
    <row r="31" spans="1:11" ht="13">
      <c r="A31" s="243"/>
      <c r="B31" s="524" t="s">
        <v>39</v>
      </c>
      <c r="D31" s="1007" t="s">
        <v>12</v>
      </c>
      <c r="E31" s="1124"/>
      <c r="F31" s="1124"/>
      <c r="G31" s="1124"/>
      <c r="H31" s="1124"/>
      <c r="I31" s="1124"/>
      <c r="J31" s="282">
        <v>19</v>
      </c>
      <c r="K31" s="243"/>
    </row>
    <row r="32" spans="1:11" ht="13">
      <c r="A32" s="243"/>
      <c r="B32" s="524"/>
      <c r="J32" s="282"/>
      <c r="K32" s="243"/>
    </row>
    <row r="33" spans="1:11" ht="13">
      <c r="A33" s="243"/>
      <c r="B33" s="525"/>
      <c r="J33" s="282"/>
    </row>
    <row r="34" spans="1:11" ht="13">
      <c r="A34" s="243" t="s">
        <v>40</v>
      </c>
      <c r="B34" s="526"/>
      <c r="C34" s="243"/>
      <c r="D34" s="243"/>
      <c r="E34" s="243"/>
      <c r="F34" s="243"/>
      <c r="G34" s="243"/>
      <c r="H34" s="243"/>
      <c r="I34" s="243"/>
      <c r="J34" s="283"/>
    </row>
    <row r="35" spans="1:11" ht="13">
      <c r="A35" s="243"/>
      <c r="B35" s="526"/>
      <c r="C35" s="243"/>
      <c r="D35" s="243"/>
      <c r="E35" s="243"/>
      <c r="F35" s="243"/>
      <c r="G35" s="243"/>
      <c r="H35" s="243"/>
      <c r="I35" s="243"/>
      <c r="J35" s="283"/>
    </row>
    <row r="36" spans="1:11" ht="13">
      <c r="A36" s="243"/>
      <c r="B36" s="529" t="s">
        <v>41</v>
      </c>
      <c r="D36" s="255" t="s">
        <v>42</v>
      </c>
      <c r="E36" s="255"/>
      <c r="F36" s="255"/>
      <c r="G36" s="255"/>
      <c r="H36" s="255"/>
      <c r="I36" s="255"/>
      <c r="J36" s="282">
        <v>21</v>
      </c>
    </row>
    <row r="37" spans="1:11" ht="13">
      <c r="A37" s="243"/>
      <c r="B37" s="529" t="s">
        <v>43</v>
      </c>
      <c r="D37" s="246" t="s">
        <v>44</v>
      </c>
      <c r="J37" s="282">
        <v>23</v>
      </c>
    </row>
    <row r="38" spans="1:11" ht="13">
      <c r="A38" s="243"/>
      <c r="B38" s="529" t="s">
        <v>45</v>
      </c>
      <c r="D38" s="1008" t="s">
        <v>46</v>
      </c>
      <c r="E38" s="1008"/>
      <c r="F38" s="1008"/>
      <c r="G38" s="1008"/>
      <c r="H38" s="1008"/>
      <c r="I38" s="1008"/>
      <c r="J38" s="282">
        <v>25</v>
      </c>
    </row>
    <row r="39" spans="1:11" ht="13">
      <c r="A39" s="243"/>
      <c r="B39" s="529" t="s">
        <v>47</v>
      </c>
      <c r="D39" s="1008" t="s">
        <v>48</v>
      </c>
      <c r="E39" s="1008"/>
      <c r="F39" s="1008"/>
      <c r="G39" s="1008"/>
      <c r="H39" s="1008"/>
      <c r="I39" s="1008"/>
      <c r="J39" s="282">
        <v>27</v>
      </c>
    </row>
    <row r="40" spans="1:11" ht="13">
      <c r="A40" s="243"/>
      <c r="B40" s="524" t="s">
        <v>49</v>
      </c>
      <c r="D40" s="1008" t="s">
        <v>50</v>
      </c>
      <c r="E40" s="1008"/>
      <c r="F40" s="1008"/>
      <c r="G40" s="1008"/>
      <c r="H40" s="1008"/>
      <c r="I40" s="1008"/>
      <c r="J40" s="282">
        <v>29</v>
      </c>
    </row>
    <row r="41" spans="1:11" ht="13">
      <c r="A41" s="243"/>
      <c r="B41" s="529" t="s">
        <v>51</v>
      </c>
      <c r="D41" s="1008" t="s">
        <v>52</v>
      </c>
      <c r="E41" s="1008"/>
      <c r="F41" s="1008"/>
      <c r="G41" s="1008"/>
      <c r="H41" s="1008"/>
      <c r="I41" s="1008"/>
      <c r="J41" s="282">
        <v>30</v>
      </c>
    </row>
    <row r="42" spans="1:11" ht="13">
      <c r="A42" s="243"/>
      <c r="B42" s="529" t="s">
        <v>53</v>
      </c>
      <c r="D42" s="1008" t="s">
        <v>54</v>
      </c>
      <c r="E42" s="1008"/>
      <c r="F42" s="1008"/>
      <c r="G42" s="1008"/>
      <c r="H42" s="1008"/>
      <c r="I42" s="1008"/>
      <c r="J42" s="282">
        <v>32</v>
      </c>
    </row>
    <row r="43" spans="1:11" ht="13">
      <c r="A43" s="243"/>
      <c r="B43" s="529" t="s">
        <v>55</v>
      </c>
      <c r="D43" s="1008" t="s">
        <v>56</v>
      </c>
      <c r="E43" s="1008"/>
      <c r="F43" s="1008"/>
      <c r="G43" s="1008"/>
      <c r="H43" s="1008"/>
      <c r="I43" s="1008"/>
      <c r="J43" s="282">
        <v>34</v>
      </c>
    </row>
    <row r="44" spans="1:11" ht="13">
      <c r="A44" s="243"/>
      <c r="B44" s="524" t="s">
        <v>57</v>
      </c>
      <c r="D44" s="1008" t="s">
        <v>58</v>
      </c>
      <c r="E44" s="1008"/>
      <c r="F44" s="1008"/>
      <c r="G44" s="1008"/>
      <c r="H44" s="1008"/>
      <c r="I44" s="1008"/>
      <c r="J44" s="282">
        <v>35</v>
      </c>
    </row>
    <row r="45" spans="1:11" ht="13">
      <c r="A45" s="243"/>
      <c r="B45" s="529" t="s">
        <v>59</v>
      </c>
      <c r="D45" s="1008" t="s">
        <v>60</v>
      </c>
      <c r="E45" s="1008"/>
      <c r="F45" s="1008"/>
      <c r="G45" s="1008"/>
      <c r="H45" s="1008"/>
      <c r="I45" s="1008"/>
      <c r="J45" s="282">
        <v>36</v>
      </c>
    </row>
    <row r="46" spans="1:11" ht="13">
      <c r="A46" s="243"/>
      <c r="B46" s="524" t="s">
        <v>61</v>
      </c>
      <c r="D46" s="1008" t="s">
        <v>62</v>
      </c>
      <c r="E46" s="1008"/>
      <c r="F46" s="1008"/>
      <c r="G46" s="1008"/>
      <c r="H46" s="1008"/>
      <c r="I46" s="1008"/>
      <c r="J46" s="282">
        <v>37</v>
      </c>
    </row>
    <row r="47" spans="1:11" ht="13">
      <c r="A47" s="243"/>
      <c r="B47" s="524" t="s">
        <v>63</v>
      </c>
      <c r="D47" s="1007" t="s">
        <v>64</v>
      </c>
      <c r="E47" s="1007"/>
      <c r="F47" s="1007"/>
      <c r="G47" s="1007"/>
      <c r="H47" s="1007"/>
      <c r="I47" s="1007"/>
      <c r="J47" s="282">
        <v>38</v>
      </c>
      <c r="K47" s="243"/>
    </row>
    <row r="48" spans="1:11" ht="13">
      <c r="A48" s="243"/>
      <c r="B48" s="525"/>
      <c r="J48" s="282"/>
    </row>
    <row r="49" spans="1:11" ht="13">
      <c r="A49" s="243" t="s">
        <v>65</v>
      </c>
      <c r="B49" s="525"/>
      <c r="J49" s="282"/>
    </row>
    <row r="50" spans="1:11" ht="13">
      <c r="A50" s="243"/>
      <c r="B50" s="526"/>
      <c r="C50" s="243"/>
      <c r="D50" s="243"/>
      <c r="E50" s="243"/>
      <c r="F50" s="243"/>
      <c r="G50" s="243"/>
      <c r="H50" s="243"/>
      <c r="I50" s="243"/>
      <c r="J50" s="283"/>
    </row>
    <row r="51" spans="1:11" ht="13">
      <c r="A51" s="243"/>
      <c r="B51" s="524" t="s">
        <v>66</v>
      </c>
      <c r="D51" s="246" t="s">
        <v>67</v>
      </c>
      <c r="J51" s="282">
        <v>39</v>
      </c>
    </row>
    <row r="52" spans="1:11" ht="13">
      <c r="A52" s="243"/>
      <c r="B52" s="524" t="s">
        <v>68</v>
      </c>
      <c r="D52" s="1008" t="s">
        <v>69</v>
      </c>
      <c r="E52" s="1008"/>
      <c r="F52" s="1008"/>
      <c r="G52" s="1008"/>
      <c r="H52" s="1008"/>
      <c r="I52" s="1008"/>
      <c r="J52" s="282">
        <v>42</v>
      </c>
    </row>
    <row r="53" spans="1:11" ht="13">
      <c r="A53" s="243"/>
      <c r="B53" s="524" t="s">
        <v>70</v>
      </c>
      <c r="D53" s="1008" t="s">
        <v>71</v>
      </c>
      <c r="E53" s="1008"/>
      <c r="F53" s="1008"/>
      <c r="G53" s="1008"/>
      <c r="H53" s="1008"/>
      <c r="I53" s="1008"/>
      <c r="J53" s="282">
        <v>43</v>
      </c>
    </row>
    <row r="54" spans="1:11" ht="13">
      <c r="A54" s="243"/>
      <c r="B54" s="524" t="s">
        <v>72</v>
      </c>
      <c r="D54" s="1008" t="s">
        <v>73</v>
      </c>
      <c r="E54" s="1008"/>
      <c r="F54" s="1008"/>
      <c r="G54" s="1008"/>
      <c r="H54" s="1008"/>
      <c r="I54" s="1008"/>
      <c r="J54" s="282">
        <v>44</v>
      </c>
    </row>
    <row r="55" spans="1:11" ht="13">
      <c r="A55" s="243"/>
      <c r="B55" s="524" t="s">
        <v>74</v>
      </c>
      <c r="D55" s="1008" t="s">
        <v>75</v>
      </c>
      <c r="E55" s="1008"/>
      <c r="F55" s="1008"/>
      <c r="G55" s="1008"/>
      <c r="H55" s="1008"/>
      <c r="I55" s="1008"/>
      <c r="J55" s="282">
        <v>45</v>
      </c>
      <c r="K55" s="260"/>
    </row>
    <row r="56" spans="1:11" ht="13">
      <c r="A56" s="243"/>
      <c r="B56" s="529" t="s">
        <v>76</v>
      </c>
      <c r="D56" s="1008" t="s">
        <v>1514</v>
      </c>
      <c r="E56" s="1008"/>
      <c r="F56" s="1008"/>
      <c r="G56" s="1008"/>
      <c r="H56" s="1008"/>
      <c r="I56" s="1008"/>
      <c r="J56" s="282">
        <v>46</v>
      </c>
      <c r="K56" s="253"/>
    </row>
    <row r="57" spans="1:11" ht="13">
      <c r="A57" s="243"/>
      <c r="B57" s="524" t="s">
        <v>77</v>
      </c>
      <c r="D57" s="1007" t="s">
        <v>78</v>
      </c>
      <c r="E57" s="1007"/>
      <c r="F57" s="1007"/>
      <c r="G57" s="1007"/>
      <c r="H57" s="1007"/>
      <c r="I57" s="1007"/>
      <c r="J57" s="282">
        <v>47</v>
      </c>
      <c r="K57" s="253"/>
    </row>
    <row r="58" spans="1:11" ht="13">
      <c r="A58" s="243"/>
      <c r="B58" s="527" t="s">
        <v>79</v>
      </c>
      <c r="D58" s="255" t="s">
        <v>80</v>
      </c>
      <c r="E58" s="255"/>
      <c r="F58" s="255"/>
      <c r="G58" s="255"/>
      <c r="H58" s="255"/>
      <c r="I58" s="255"/>
      <c r="J58" s="282">
        <v>48</v>
      </c>
      <c r="K58" s="253"/>
    </row>
    <row r="59" spans="1:11" ht="13">
      <c r="A59" s="243"/>
      <c r="B59" s="528" t="s">
        <v>81</v>
      </c>
      <c r="D59" s="1124" t="s">
        <v>82</v>
      </c>
      <c r="E59" s="1124"/>
      <c r="F59" s="1124"/>
      <c r="G59" s="1124"/>
      <c r="H59" s="1124"/>
      <c r="I59" s="1124"/>
      <c r="J59" s="282">
        <v>49</v>
      </c>
      <c r="K59" s="253"/>
    </row>
    <row r="60" spans="1:11" ht="13">
      <c r="A60" s="243"/>
      <c r="B60" s="528" t="s">
        <v>83</v>
      </c>
      <c r="D60" s="1126" t="s">
        <v>84</v>
      </c>
      <c r="E60" s="1124"/>
      <c r="F60" s="1126"/>
      <c r="G60" s="1124"/>
      <c r="H60" s="1124"/>
      <c r="I60" s="1124"/>
      <c r="J60" s="282">
        <v>50</v>
      </c>
      <c r="K60" s="253"/>
    </row>
    <row r="61" spans="1:11" ht="13">
      <c r="A61" s="243"/>
      <c r="B61" s="528" t="s">
        <v>85</v>
      </c>
      <c r="D61" s="1124" t="s">
        <v>86</v>
      </c>
      <c r="E61" s="1124"/>
      <c r="F61" s="1124"/>
      <c r="G61" s="1124"/>
      <c r="H61" s="1124"/>
      <c r="I61" s="1124"/>
      <c r="J61" s="282">
        <v>51</v>
      </c>
    </row>
    <row r="62" spans="1:11" ht="13">
      <c r="A62" s="243"/>
      <c r="B62" s="593" t="s">
        <v>87</v>
      </c>
      <c r="D62" s="1124" t="s">
        <v>88</v>
      </c>
      <c r="E62" s="1124"/>
      <c r="F62" s="1124"/>
      <c r="G62" s="1124"/>
      <c r="H62" s="1125"/>
      <c r="I62" s="1124"/>
      <c r="J62" s="282">
        <v>52</v>
      </c>
    </row>
    <row r="63" spans="1:11" ht="13">
      <c r="A63" s="243"/>
      <c r="B63" s="593" t="s">
        <v>89</v>
      </c>
      <c r="D63" s="1124" t="s">
        <v>90</v>
      </c>
      <c r="E63" s="1124"/>
      <c r="F63" s="1124"/>
      <c r="G63" s="1124"/>
      <c r="H63" s="1125"/>
      <c r="I63" s="1124"/>
      <c r="J63" s="282">
        <v>53</v>
      </c>
    </row>
    <row r="64" spans="1:11" ht="13">
      <c r="A64" s="243"/>
      <c r="B64" s="529" t="s">
        <v>91</v>
      </c>
      <c r="D64" s="1124" t="s">
        <v>92</v>
      </c>
      <c r="E64" s="1124"/>
      <c r="F64" s="1124"/>
      <c r="G64" s="1124"/>
      <c r="H64" s="1125"/>
      <c r="I64" s="1124"/>
      <c r="J64" s="282">
        <v>57</v>
      </c>
    </row>
    <row r="65" spans="1:10" ht="13.4" customHeight="1">
      <c r="A65" s="243"/>
      <c r="B65" s="529" t="s">
        <v>93</v>
      </c>
      <c r="D65" s="1124" t="s">
        <v>94</v>
      </c>
      <c r="E65" s="1124"/>
      <c r="F65" s="1124"/>
      <c r="G65" s="1124"/>
      <c r="H65" s="1125"/>
      <c r="I65" s="1124"/>
      <c r="J65" s="282">
        <v>58</v>
      </c>
    </row>
    <row r="66" spans="1:10" ht="13.4" customHeight="1">
      <c r="A66" s="243"/>
      <c r="B66" s="529" t="s">
        <v>95</v>
      </c>
      <c r="D66" s="1124" t="s">
        <v>96</v>
      </c>
      <c r="E66" s="1124"/>
      <c r="F66" s="1124"/>
      <c r="G66" s="1124"/>
      <c r="H66" s="1125"/>
      <c r="I66" s="1124"/>
      <c r="J66" s="282">
        <v>59</v>
      </c>
    </row>
    <row r="67" spans="1:10" ht="13.4" customHeight="1">
      <c r="A67" s="243"/>
      <c r="B67" s="261"/>
      <c r="D67" s="256"/>
      <c r="E67" s="256"/>
      <c r="F67" s="256"/>
      <c r="G67" s="256"/>
      <c r="H67" s="256"/>
      <c r="I67" s="256"/>
      <c r="J67" s="257"/>
    </row>
    <row r="68" spans="1:10" ht="13.4" customHeight="1">
      <c r="A68" s="243"/>
      <c r="B68" s="261"/>
      <c r="D68" s="256"/>
      <c r="E68" s="256"/>
      <c r="F68" s="256"/>
      <c r="G68" s="256"/>
      <c r="H68" s="256"/>
      <c r="I68" s="256"/>
      <c r="J68" s="257"/>
    </row>
    <row r="69" spans="1:10" ht="13.4" customHeight="1">
      <c r="A69" s="243"/>
      <c r="B69" s="261"/>
      <c r="D69" s="256"/>
      <c r="E69" s="256"/>
      <c r="F69" s="256"/>
      <c r="G69" s="256"/>
      <c r="H69" s="256"/>
      <c r="I69" s="256"/>
      <c r="J69" s="257"/>
    </row>
    <row r="70" spans="1:10" ht="13.4" customHeight="1">
      <c r="A70" s="243"/>
      <c r="B70" s="261"/>
      <c r="D70" s="256"/>
      <c r="E70" s="256"/>
      <c r="F70" s="256"/>
      <c r="G70" s="256"/>
      <c r="H70" s="256"/>
      <c r="I70" s="256"/>
      <c r="J70" s="257"/>
    </row>
    <row r="71" spans="1:10" ht="13.4" customHeight="1">
      <c r="A71" s="243"/>
      <c r="B71" s="261"/>
      <c r="D71" s="256"/>
      <c r="E71" s="256"/>
      <c r="F71" s="256"/>
      <c r="G71" s="256"/>
      <c r="H71" s="256"/>
      <c r="I71" s="256"/>
      <c r="J71" s="257"/>
    </row>
    <row r="72" spans="1:10" ht="13.4" customHeight="1">
      <c r="A72" s="243"/>
      <c r="B72" s="261"/>
      <c r="D72" s="256"/>
      <c r="E72" s="256"/>
      <c r="F72" s="256"/>
      <c r="G72" s="256"/>
      <c r="H72" s="256"/>
      <c r="I72" s="256"/>
      <c r="J72" s="257"/>
    </row>
    <row r="73" spans="1:10" ht="13.4" customHeight="1">
      <c r="A73" s="243"/>
      <c r="B73" s="261"/>
      <c r="D73" s="256"/>
      <c r="E73" s="256"/>
      <c r="F73" s="256"/>
      <c r="G73" s="256"/>
      <c r="H73" s="256"/>
      <c r="I73" s="256"/>
      <c r="J73" s="257"/>
    </row>
    <row r="74" spans="1:10" ht="13.4" customHeight="1">
      <c r="A74" s="243"/>
      <c r="B74" s="261"/>
      <c r="D74" s="256"/>
      <c r="E74" s="256"/>
      <c r="F74" s="256"/>
      <c r="G74" s="256"/>
      <c r="H74" s="256"/>
      <c r="I74" s="256"/>
      <c r="J74" s="257"/>
    </row>
    <row r="75" spans="1:10" ht="13.4" customHeight="1">
      <c r="A75" s="243"/>
      <c r="B75" s="261"/>
      <c r="D75" s="256"/>
      <c r="E75" s="256"/>
      <c r="F75" s="256"/>
      <c r="G75" s="256"/>
      <c r="H75" s="256"/>
      <c r="I75" s="256"/>
      <c r="J75" s="257"/>
    </row>
    <row r="76" spans="1:10" ht="13.4" customHeight="1">
      <c r="A76" s="243"/>
      <c r="B76" s="261"/>
      <c r="D76" s="256"/>
      <c r="E76" s="256"/>
      <c r="F76" s="256"/>
      <c r="G76" s="256"/>
      <c r="H76" s="256"/>
      <c r="I76" s="256"/>
      <c r="J76" s="257"/>
    </row>
    <row r="77" spans="1:10" ht="13.4" customHeight="1">
      <c r="A77" s="243"/>
      <c r="B77" s="261"/>
      <c r="D77" s="256"/>
      <c r="E77" s="256"/>
      <c r="F77" s="256"/>
      <c r="G77" s="256"/>
      <c r="H77" s="256"/>
      <c r="I77" s="256"/>
      <c r="J77" s="257"/>
    </row>
    <row r="78" spans="1:10" ht="13.4" customHeight="1">
      <c r="A78" s="243"/>
      <c r="B78" s="261"/>
      <c r="D78" s="256"/>
      <c r="E78" s="256"/>
      <c r="F78" s="256"/>
      <c r="G78" s="256"/>
      <c r="H78" s="256"/>
      <c r="I78" s="256"/>
      <c r="J78" s="257"/>
    </row>
    <row r="79" spans="1:10" ht="13.4" customHeight="1">
      <c r="A79" s="243"/>
      <c r="B79" s="261"/>
      <c r="D79" s="256"/>
      <c r="E79" s="256"/>
      <c r="F79" s="256"/>
      <c r="G79" s="256"/>
      <c r="H79" s="256"/>
      <c r="I79" s="256"/>
      <c r="J79" s="257"/>
    </row>
    <row r="80" spans="1:10" ht="13.4" customHeight="1">
      <c r="A80" s="243"/>
      <c r="B80" s="261"/>
      <c r="D80" s="256"/>
      <c r="E80" s="256"/>
      <c r="F80" s="256"/>
      <c r="G80" s="256"/>
      <c r="H80" s="256"/>
      <c r="I80" s="256"/>
      <c r="J80" s="257"/>
    </row>
    <row r="81" spans="1:10" ht="13.4" customHeight="1">
      <c r="A81" s="243"/>
      <c r="B81" s="261"/>
      <c r="D81" s="256"/>
      <c r="E81" s="256"/>
      <c r="F81" s="256"/>
      <c r="G81" s="256"/>
      <c r="H81" s="256"/>
      <c r="I81" s="256"/>
      <c r="J81" s="257"/>
    </row>
    <row r="82" spans="1:10" ht="13.4" customHeight="1">
      <c r="A82" s="243"/>
      <c r="B82" s="261"/>
      <c r="D82" s="256"/>
      <c r="E82" s="256"/>
      <c r="F82" s="256"/>
      <c r="G82" s="256"/>
      <c r="H82" s="256"/>
      <c r="I82" s="256"/>
      <c r="J82" s="257"/>
    </row>
    <row r="83" spans="1:10" ht="13.4" customHeight="1">
      <c r="A83" s="243"/>
      <c r="B83" s="261"/>
      <c r="D83" s="256"/>
      <c r="E83" s="256"/>
      <c r="F83" s="256"/>
      <c r="G83" s="256"/>
      <c r="H83" s="256"/>
      <c r="I83" s="256"/>
      <c r="J83" s="257"/>
    </row>
    <row r="84" spans="1:10" ht="13.4" customHeight="1">
      <c r="A84" s="243"/>
      <c r="B84" s="261"/>
      <c r="D84" s="256"/>
      <c r="E84" s="256"/>
      <c r="F84" s="256"/>
      <c r="G84" s="256"/>
      <c r="H84" s="256"/>
      <c r="I84" s="256"/>
      <c r="J84" s="257"/>
    </row>
    <row r="85" spans="1:10" ht="13.4" customHeight="1">
      <c r="A85" s="243"/>
      <c r="B85" s="261"/>
      <c r="D85" s="256"/>
      <c r="E85" s="256"/>
      <c r="F85" s="256"/>
      <c r="G85" s="256"/>
      <c r="H85" s="256"/>
      <c r="I85" s="256"/>
      <c r="J85" s="257"/>
    </row>
    <row r="86" spans="1:10" ht="13.4" customHeight="1">
      <c r="A86" s="243"/>
      <c r="B86" s="261"/>
      <c r="D86" s="256"/>
      <c r="E86" s="256"/>
      <c r="F86" s="256"/>
      <c r="G86" s="256"/>
      <c r="H86" s="256"/>
      <c r="I86" s="256"/>
      <c r="J86" s="257"/>
    </row>
    <row r="87" spans="1:10" ht="13.4" customHeight="1">
      <c r="A87" s="243"/>
      <c r="B87" s="261"/>
      <c r="D87" s="256"/>
      <c r="E87" s="256"/>
      <c r="F87" s="256"/>
      <c r="G87" s="256"/>
      <c r="H87" s="256"/>
      <c r="I87" s="256"/>
      <c r="J87" s="257"/>
    </row>
    <row r="88" spans="1:10" ht="13.4" customHeight="1">
      <c r="A88" s="243"/>
      <c r="B88" s="261"/>
      <c r="D88" s="256"/>
      <c r="E88" s="256"/>
      <c r="F88" s="256"/>
      <c r="G88" s="256"/>
      <c r="H88" s="256"/>
      <c r="I88" s="256"/>
      <c r="J88" s="257"/>
    </row>
    <row r="89" spans="1:10" ht="13.4" customHeight="1">
      <c r="A89" s="243"/>
      <c r="B89" s="261"/>
      <c r="D89" s="256"/>
      <c r="E89" s="256"/>
      <c r="F89" s="256"/>
      <c r="G89" s="256"/>
      <c r="H89" s="256"/>
      <c r="I89" s="256"/>
      <c r="J89" s="257"/>
    </row>
    <row r="90" spans="1:10" ht="13.4" customHeight="1">
      <c r="A90" s="243"/>
      <c r="B90" s="261"/>
      <c r="D90" s="256"/>
      <c r="E90" s="256"/>
      <c r="F90" s="256"/>
      <c r="G90" s="256"/>
      <c r="H90" s="256"/>
      <c r="I90" s="256"/>
      <c r="J90" s="257"/>
    </row>
    <row r="91" spans="1:10" ht="13.4" customHeight="1">
      <c r="A91" s="243"/>
      <c r="B91" s="261"/>
      <c r="D91" s="256"/>
      <c r="E91" s="256"/>
      <c r="F91" s="256"/>
      <c r="G91" s="256"/>
      <c r="H91" s="256"/>
      <c r="I91" s="256"/>
      <c r="J91" s="257"/>
    </row>
    <row r="92" spans="1:10" ht="13.4" customHeight="1">
      <c r="A92" s="243"/>
      <c r="B92" s="261"/>
      <c r="D92" s="256"/>
      <c r="E92" s="256"/>
      <c r="F92" s="256"/>
      <c r="G92" s="256"/>
      <c r="H92" s="256"/>
      <c r="I92" s="256"/>
      <c r="J92" s="257"/>
    </row>
    <row r="93" spans="1:10" ht="13.4" customHeight="1">
      <c r="A93" s="243"/>
      <c r="B93" s="261"/>
      <c r="D93" s="256"/>
      <c r="E93" s="256"/>
      <c r="F93" s="256"/>
      <c r="G93" s="256"/>
      <c r="H93" s="256"/>
      <c r="I93" s="256"/>
      <c r="J93" s="257"/>
    </row>
    <row r="94" spans="1:10" ht="13.4" customHeight="1">
      <c r="A94" s="243"/>
      <c r="B94" s="261"/>
      <c r="D94" s="256"/>
      <c r="E94" s="256"/>
      <c r="F94" s="256"/>
      <c r="G94" s="256"/>
      <c r="H94" s="256"/>
      <c r="I94" s="256"/>
      <c r="J94" s="257"/>
    </row>
    <row r="95" spans="1:10" ht="13.4" customHeight="1">
      <c r="A95" s="243"/>
      <c r="B95" s="261"/>
      <c r="D95" s="256"/>
      <c r="E95" s="256"/>
      <c r="F95" s="256"/>
      <c r="G95" s="256"/>
      <c r="H95" s="256"/>
      <c r="I95" s="256"/>
      <c r="J95" s="257"/>
    </row>
    <row r="96" spans="1:10" ht="13.4" customHeight="1">
      <c r="A96" s="243"/>
      <c r="B96" s="261"/>
      <c r="D96" s="256"/>
      <c r="E96" s="256"/>
      <c r="F96" s="256"/>
      <c r="G96" s="256"/>
      <c r="H96" s="256"/>
      <c r="I96" s="256"/>
      <c r="J96" s="257"/>
    </row>
    <row r="97" spans="1:10" ht="13.4" customHeight="1">
      <c r="A97" s="243"/>
      <c r="B97" s="261"/>
      <c r="D97" s="256"/>
      <c r="E97" s="256"/>
      <c r="F97" s="256"/>
      <c r="G97" s="256"/>
      <c r="H97" s="256"/>
      <c r="I97" s="256"/>
      <c r="J97" s="257"/>
    </row>
    <row r="98" spans="1:10" ht="13.4" customHeight="1">
      <c r="A98" s="243"/>
      <c r="B98" s="261"/>
      <c r="D98" s="256"/>
      <c r="E98" s="256"/>
      <c r="F98" s="256"/>
      <c r="G98" s="256"/>
      <c r="H98" s="256"/>
      <c r="I98" s="256"/>
      <c r="J98" s="257"/>
    </row>
    <row r="99" spans="1:10" ht="13.4" customHeight="1">
      <c r="A99" s="243"/>
      <c r="B99" s="261"/>
      <c r="D99" s="256"/>
      <c r="E99" s="256"/>
      <c r="F99" s="256"/>
      <c r="G99" s="256"/>
      <c r="H99" s="256"/>
      <c r="I99" s="256"/>
      <c r="J99" s="257"/>
    </row>
    <row r="100" spans="1:10" ht="13.4" customHeight="1">
      <c r="A100" s="243"/>
      <c r="B100" s="261"/>
      <c r="D100" s="256"/>
      <c r="E100" s="256"/>
      <c r="F100" s="256"/>
      <c r="G100" s="256"/>
      <c r="H100" s="256"/>
      <c r="I100" s="256"/>
      <c r="J100" s="257"/>
    </row>
    <row r="101" spans="1:10">
      <c r="B101" s="261"/>
      <c r="J101" s="262"/>
    </row>
    <row r="102" spans="1:10">
      <c r="B102" s="261"/>
      <c r="J102" s="262"/>
    </row>
    <row r="103" spans="1:10">
      <c r="B103" s="261"/>
      <c r="J103" s="262"/>
    </row>
    <row r="104" spans="1:10">
      <c r="B104" s="261"/>
    </row>
    <row r="105" spans="1:10">
      <c r="B105" s="261"/>
    </row>
    <row r="106" spans="1:10">
      <c r="B106" s="261"/>
    </row>
    <row r="107" spans="1:10">
      <c r="B107" s="261"/>
    </row>
    <row r="108" spans="1:10">
      <c r="B108" s="261"/>
    </row>
    <row r="109" spans="1:10">
      <c r="B109" s="261"/>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workbookViewId="0"/>
  </sheetViews>
  <sheetFormatPr defaultColWidth="8.69140625" defaultRowHeight="15.5"/>
  <cols>
    <col min="1" max="1" width="50.07421875" style="301" customWidth="1"/>
    <col min="2" max="2" width="3.69140625" style="266" customWidth="1"/>
    <col min="3" max="3" width="16.69140625" style="266" customWidth="1"/>
    <col min="4" max="4" width="1.53515625" style="266" customWidth="1"/>
    <col min="5" max="5" width="16.4609375" style="133" customWidth="1"/>
    <col min="6" max="6" width="1.53515625" style="266" customWidth="1"/>
    <col min="7" max="7" width="14.07421875" style="266" customWidth="1"/>
    <col min="8" max="8" width="1.53515625" style="266" customWidth="1"/>
    <col min="9" max="9" width="14.07421875" style="266" customWidth="1"/>
    <col min="10" max="10" width="1.53515625" style="266" customWidth="1"/>
    <col min="11" max="11" width="14.07421875" style="266" customWidth="1"/>
    <col min="12" max="12" width="1.53515625" style="266" customWidth="1"/>
    <col min="13" max="13" width="16.07421875" style="266" customWidth="1"/>
    <col min="14" max="14" width="1.53515625" style="266" customWidth="1"/>
    <col min="15" max="15" width="12.53515625" style="266" customWidth="1"/>
    <col min="16" max="16" width="11.4609375" style="266" customWidth="1"/>
    <col min="17" max="17" width="1.69140625" style="266" customWidth="1"/>
    <col min="18" max="18" width="11.69140625" style="266" customWidth="1"/>
    <col min="19" max="19" width="2.07421875" style="266" customWidth="1"/>
    <col min="20" max="20" width="11.4609375" style="266" customWidth="1"/>
    <col min="21" max="21" width="0.53515625" style="266" customWidth="1"/>
    <col min="22" max="22" width="2.07421875" style="266" customWidth="1"/>
    <col min="23" max="23" width="10.53515625" style="266" customWidth="1"/>
    <col min="24" max="24" width="11.07421875" style="266" customWidth="1"/>
    <col min="25" max="25" width="2.07421875" style="266" customWidth="1"/>
    <col min="26" max="26" width="11.07421875" style="266" customWidth="1"/>
    <col min="27" max="27" width="2.07421875" style="266" customWidth="1"/>
    <col min="28" max="28" width="12.4609375" style="266" customWidth="1"/>
    <col min="29" max="34" width="8.69140625" style="266"/>
    <col min="35" max="16384" width="8.69140625" style="301"/>
  </cols>
  <sheetData>
    <row r="1" spans="1:28">
      <c r="A1" s="275" t="s">
        <v>97</v>
      </c>
      <c r="B1" s="49"/>
      <c r="C1" s="49"/>
      <c r="D1" s="49"/>
      <c r="E1" s="129"/>
      <c r="F1" s="49"/>
      <c r="G1" s="49"/>
      <c r="H1" s="49"/>
      <c r="I1" s="49"/>
      <c r="J1" s="49"/>
      <c r="K1" s="49"/>
      <c r="L1" s="49"/>
      <c r="M1" s="49"/>
      <c r="N1" s="49"/>
      <c r="O1" s="49"/>
      <c r="P1" s="49"/>
      <c r="Q1" s="49"/>
      <c r="R1" s="49"/>
      <c r="S1" s="49"/>
      <c r="T1" s="49"/>
      <c r="U1" s="49"/>
      <c r="V1" s="49"/>
      <c r="W1" s="49"/>
      <c r="X1" s="49"/>
      <c r="Y1" s="49"/>
      <c r="Z1" s="49"/>
      <c r="AA1" s="49"/>
      <c r="AB1" s="49"/>
    </row>
    <row r="2" spans="1:28" ht="17.25" customHeight="1">
      <c r="A2" s="50"/>
      <c r="B2" s="49"/>
      <c r="C2" s="49"/>
      <c r="D2" s="49"/>
      <c r="E2" s="129"/>
      <c r="F2" s="49"/>
      <c r="G2" s="49"/>
      <c r="H2" s="49"/>
      <c r="I2" s="49"/>
      <c r="J2" s="49"/>
      <c r="K2" s="49"/>
      <c r="L2" s="49"/>
      <c r="M2" s="49"/>
      <c r="N2" s="49"/>
      <c r="O2" s="49"/>
      <c r="P2" s="49"/>
      <c r="Q2" s="49"/>
      <c r="R2" s="49"/>
      <c r="S2" s="49"/>
      <c r="T2" s="49"/>
      <c r="U2" s="49"/>
      <c r="V2" s="49"/>
      <c r="W2" s="49"/>
      <c r="X2" s="49"/>
      <c r="Y2" s="49"/>
      <c r="Z2" s="49"/>
      <c r="AA2" s="49"/>
      <c r="AB2" s="49"/>
    </row>
    <row r="3" spans="1:28" ht="18" customHeight="1">
      <c r="A3" s="51" t="s">
        <v>98</v>
      </c>
      <c r="B3" s="30"/>
      <c r="C3" s="30"/>
      <c r="D3" s="30"/>
      <c r="E3" s="130"/>
      <c r="F3" s="30"/>
      <c r="G3" s="30"/>
      <c r="H3" s="30"/>
      <c r="I3" s="30"/>
      <c r="J3" s="30"/>
      <c r="K3" s="30"/>
      <c r="L3" s="30"/>
      <c r="M3" s="362"/>
      <c r="N3" s="30"/>
      <c r="O3" s="362" t="s">
        <v>231</v>
      </c>
      <c r="P3" s="30"/>
      <c r="Q3" s="30"/>
      <c r="R3" s="30"/>
      <c r="S3" s="30"/>
      <c r="T3" s="30"/>
      <c r="U3" s="30"/>
      <c r="V3" s="30"/>
      <c r="W3" s="30"/>
      <c r="X3" s="30"/>
      <c r="Y3" s="30"/>
      <c r="Z3" s="30"/>
      <c r="AA3" s="30"/>
      <c r="AB3" s="52"/>
    </row>
    <row r="4" spans="1:28" ht="18" customHeight="1">
      <c r="A4" s="51" t="s">
        <v>232</v>
      </c>
      <c r="B4" s="30"/>
      <c r="C4" s="30"/>
      <c r="D4" s="30"/>
      <c r="E4" s="130"/>
      <c r="F4" s="30"/>
      <c r="G4" s="30"/>
      <c r="H4" s="30"/>
      <c r="I4" s="30"/>
      <c r="J4" s="30"/>
      <c r="K4" s="30"/>
      <c r="L4" s="30"/>
      <c r="M4" s="363"/>
      <c r="N4" s="30"/>
      <c r="O4" s="363"/>
      <c r="P4" s="30"/>
      <c r="Q4" s="30"/>
      <c r="R4" s="30"/>
      <c r="S4" s="30"/>
      <c r="T4" s="30"/>
      <c r="U4" s="30"/>
      <c r="V4" s="30"/>
      <c r="W4" s="30"/>
      <c r="X4" s="30"/>
      <c r="Y4" s="30"/>
      <c r="Z4" s="30"/>
      <c r="AA4" s="30"/>
      <c r="AB4" s="30"/>
    </row>
    <row r="5" spans="1:28" ht="18" customHeight="1">
      <c r="A5" s="2119" t="str">
        <f>'Exh D Governmental  '!A5</f>
        <v>FISCAL YEAR 2024-2025</v>
      </c>
      <c r="B5" s="2120"/>
      <c r="C5" s="2120"/>
      <c r="D5" s="2120"/>
      <c r="E5" s="2120"/>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1" t="str">
        <f>+'Exh D Governmental  '!A6</f>
        <v>FOR ELEVEN MONTHS ENDED FEBRUARY 28, 2025</v>
      </c>
      <c r="B6" s="30"/>
      <c r="C6" s="30"/>
      <c r="D6" s="30"/>
      <c r="E6" s="130"/>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1" t="s">
        <v>233</v>
      </c>
      <c r="B7" s="30"/>
      <c r="C7" s="30"/>
      <c r="D7" s="30"/>
      <c r="E7" s="130"/>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30"/>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30"/>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30"/>
      <c r="F10" s="30"/>
      <c r="G10" s="30"/>
      <c r="H10" s="30"/>
      <c r="I10" s="30"/>
      <c r="J10" s="30"/>
      <c r="K10" s="30"/>
      <c r="L10" s="30"/>
      <c r="M10" s="30"/>
      <c r="N10" s="30"/>
      <c r="O10" s="30"/>
      <c r="P10" s="30"/>
      <c r="Q10" s="30"/>
      <c r="R10" s="30"/>
      <c r="S10" s="30"/>
      <c r="T10" s="30"/>
      <c r="U10" s="30"/>
      <c r="V10" s="30"/>
      <c r="W10" s="30"/>
      <c r="X10" s="30"/>
      <c r="Y10" s="30"/>
      <c r="Z10" s="30"/>
      <c r="AA10" s="30"/>
      <c r="AB10" s="30"/>
    </row>
    <row r="11" spans="1:28">
      <c r="C11" s="1033"/>
      <c r="D11" s="1033"/>
      <c r="E11" s="1249"/>
      <c r="F11" s="1033"/>
      <c r="G11" s="1249" t="s">
        <v>281</v>
      </c>
      <c r="H11" s="1033"/>
      <c r="I11" s="1249"/>
      <c r="J11" s="1033"/>
      <c r="K11" s="1249"/>
      <c r="L11" s="1033"/>
      <c r="M11" s="1249"/>
      <c r="N11" s="1033"/>
      <c r="O11" s="438"/>
      <c r="P11" s="53"/>
      <c r="Q11" s="53"/>
      <c r="R11" s="53"/>
      <c r="S11" s="53"/>
      <c r="T11" s="53"/>
      <c r="U11" s="53"/>
      <c r="V11" s="36"/>
      <c r="W11" s="53"/>
      <c r="X11" s="54"/>
      <c r="Y11" s="53"/>
      <c r="Z11" s="53"/>
      <c r="AA11" s="53"/>
      <c r="AB11" s="53"/>
    </row>
    <row r="12" spans="1:28">
      <c r="G12" s="56"/>
      <c r="I12" s="56"/>
      <c r="K12" s="56"/>
      <c r="M12" s="55" t="s">
        <v>235</v>
      </c>
      <c r="O12" s="55" t="s">
        <v>235</v>
      </c>
      <c r="P12" s="53"/>
      <c r="Q12" s="53"/>
      <c r="R12" s="53"/>
      <c r="S12" s="53"/>
      <c r="T12" s="53"/>
      <c r="U12" s="53"/>
      <c r="V12" s="36"/>
      <c r="W12" s="53"/>
      <c r="X12" s="54"/>
      <c r="Y12" s="53"/>
      <c r="Z12" s="53"/>
      <c r="AA12" s="53"/>
      <c r="AB12" s="53"/>
    </row>
    <row r="13" spans="1:28">
      <c r="G13" s="56"/>
      <c r="I13" s="56"/>
      <c r="K13" s="56"/>
      <c r="M13" s="37" t="s">
        <v>236</v>
      </c>
      <c r="O13" s="37" t="s">
        <v>236</v>
      </c>
      <c r="P13" s="53"/>
      <c r="Q13" s="53"/>
      <c r="R13" s="53"/>
      <c r="S13" s="53"/>
      <c r="T13" s="53"/>
      <c r="U13" s="53"/>
      <c r="V13" s="36"/>
      <c r="W13" s="53"/>
      <c r="X13" s="54"/>
      <c r="Y13" s="53"/>
      <c r="Z13" s="53"/>
      <c r="AA13" s="53"/>
      <c r="AB13" s="53"/>
    </row>
    <row r="14" spans="1:28">
      <c r="B14" s="36"/>
      <c r="C14" s="38" t="s">
        <v>238</v>
      </c>
      <c r="D14" s="36"/>
      <c r="E14" s="37" t="s">
        <v>239</v>
      </c>
      <c r="F14" s="36"/>
      <c r="G14" s="36"/>
      <c r="H14" s="36"/>
      <c r="I14" s="36"/>
      <c r="J14" s="36"/>
      <c r="K14" s="36"/>
      <c r="L14" s="36"/>
      <c r="M14" s="37" t="s">
        <v>240</v>
      </c>
      <c r="N14" s="36"/>
      <c r="O14" s="37" t="s">
        <v>240</v>
      </c>
      <c r="P14" s="36"/>
      <c r="Q14" s="36"/>
      <c r="R14" s="36"/>
      <c r="S14" s="36"/>
      <c r="T14" s="38"/>
      <c r="U14" s="37"/>
      <c r="V14" s="36"/>
      <c r="W14" s="36"/>
      <c r="X14" s="36"/>
      <c r="Y14" s="36"/>
      <c r="Z14" s="36"/>
      <c r="AA14" s="36"/>
      <c r="AB14" s="38"/>
    </row>
    <row r="15" spans="1:28">
      <c r="B15" s="57"/>
      <c r="C15" s="37" t="s">
        <v>241</v>
      </c>
      <c r="D15" s="1365"/>
      <c r="E15" s="37" t="s">
        <v>241</v>
      </c>
      <c r="F15" s="1365"/>
      <c r="G15" s="36"/>
      <c r="H15" s="1365"/>
      <c r="I15" s="36"/>
      <c r="J15" s="1365"/>
      <c r="K15" s="36"/>
      <c r="L15" s="1365"/>
      <c r="M15" s="37" t="s">
        <v>238</v>
      </c>
      <c r="N15" s="1365"/>
      <c r="O15" s="37" t="s">
        <v>239</v>
      </c>
      <c r="P15" s="37"/>
      <c r="Q15" s="36"/>
      <c r="R15" s="36"/>
      <c r="S15" s="36"/>
      <c r="T15" s="38"/>
      <c r="U15" s="37"/>
      <c r="V15" s="36"/>
      <c r="W15" s="38"/>
      <c r="X15" s="37"/>
      <c r="Y15" s="36"/>
      <c r="Z15" s="36"/>
      <c r="AA15" s="36"/>
      <c r="AB15" s="38"/>
    </row>
    <row r="16" spans="1:28">
      <c r="B16" s="37"/>
      <c r="C16" s="441" t="s">
        <v>242</v>
      </c>
      <c r="D16" s="36"/>
      <c r="E16" s="37" t="s">
        <v>1522</v>
      </c>
      <c r="F16" s="36"/>
      <c r="G16" s="38" t="s">
        <v>235</v>
      </c>
      <c r="H16" s="36"/>
      <c r="I16" s="596" t="s">
        <v>282</v>
      </c>
      <c r="J16" s="36"/>
      <c r="K16" s="596" t="s">
        <v>283</v>
      </c>
      <c r="L16" s="36"/>
      <c r="M16" s="37" t="s">
        <v>243</v>
      </c>
      <c r="N16" s="36"/>
      <c r="O16" s="441" t="s">
        <v>243</v>
      </c>
      <c r="P16" s="37"/>
      <c r="Q16" s="36"/>
      <c r="R16" s="38"/>
      <c r="S16" s="36"/>
      <c r="T16" s="38"/>
      <c r="U16" s="37"/>
      <c r="V16" s="36"/>
      <c r="W16" s="37"/>
      <c r="X16" s="37"/>
      <c r="Y16" s="36"/>
      <c r="Z16" s="38"/>
      <c r="AA16" s="36"/>
      <c r="AB16" s="38"/>
    </row>
    <row r="17" spans="1:28">
      <c r="A17" s="39"/>
      <c r="B17" s="30"/>
      <c r="C17" s="30"/>
      <c r="D17" s="30"/>
      <c r="E17" s="1032"/>
      <c r="F17" s="30"/>
      <c r="G17" s="1032"/>
      <c r="H17" s="30"/>
      <c r="I17" s="30"/>
      <c r="J17" s="30"/>
      <c r="K17" s="30"/>
      <c r="L17" s="30"/>
      <c r="M17" s="1032"/>
      <c r="N17" s="30"/>
      <c r="O17" s="30"/>
      <c r="P17" s="30"/>
      <c r="Q17" s="30"/>
      <c r="R17" s="30"/>
      <c r="S17" s="30"/>
      <c r="T17" s="30"/>
      <c r="U17" s="30"/>
      <c r="V17" s="30"/>
      <c r="W17" s="30"/>
      <c r="X17" s="30"/>
      <c r="Y17" s="30"/>
      <c r="Z17" s="30"/>
      <c r="AA17" s="30"/>
      <c r="AB17" s="30"/>
    </row>
    <row r="18" spans="1:28">
      <c r="A18" s="3" t="s">
        <v>114</v>
      </c>
      <c r="E18" s="266"/>
      <c r="P18" s="30"/>
      <c r="Q18" s="30"/>
      <c r="R18" s="30"/>
    </row>
    <row r="19" spans="1:28">
      <c r="A19" s="360" t="s">
        <v>244</v>
      </c>
      <c r="B19" s="389"/>
      <c r="C19" s="389"/>
      <c r="D19" s="389"/>
      <c r="E19" s="266"/>
      <c r="F19" s="389"/>
      <c r="H19" s="389"/>
      <c r="J19" s="389"/>
      <c r="L19" s="389"/>
      <c r="N19" s="389"/>
      <c r="O19" s="567"/>
    </row>
    <row r="20" spans="1:28">
      <c r="A20" s="360" t="s">
        <v>245</v>
      </c>
      <c r="B20" s="389"/>
      <c r="C20" s="287">
        <v>1566</v>
      </c>
      <c r="D20" s="286"/>
      <c r="E20" s="287">
        <v>1444</v>
      </c>
      <c r="F20" s="389"/>
      <c r="G20" s="398">
        <f>+'Exh D Special Revenue State Fed'!G20</f>
        <v>1444.1</v>
      </c>
      <c r="H20" s="389"/>
      <c r="I20" s="398">
        <v>0</v>
      </c>
      <c r="J20" s="389"/>
      <c r="K20" s="398">
        <f t="shared" ref="K20:K25" si="0">+G20+I20</f>
        <v>1444.1</v>
      </c>
      <c r="L20" s="389"/>
      <c r="M20" s="284">
        <f>ROUND(SUM(K20)-SUM(C20),1)</f>
        <v>-121.9</v>
      </c>
      <c r="N20" s="389"/>
      <c r="O20" s="284">
        <f>K20-E20</f>
        <v>9.9999999999909051E-2</v>
      </c>
      <c r="P20" s="1567"/>
      <c r="Q20" s="1567"/>
      <c r="R20" s="1567"/>
    </row>
    <row r="21" spans="1:28">
      <c r="A21" s="360" t="s">
        <v>246</v>
      </c>
      <c r="C21" s="285">
        <v>2027</v>
      </c>
      <c r="D21" s="1885"/>
      <c r="E21" s="285">
        <v>2015</v>
      </c>
      <c r="G21" s="274">
        <f>+'Exh D Special Revenue State Fed'!G21</f>
        <v>2012.6</v>
      </c>
      <c r="I21" s="274">
        <v>0</v>
      </c>
      <c r="K21" s="274">
        <f t="shared" si="0"/>
        <v>2012.6</v>
      </c>
      <c r="M21" s="274">
        <f>ROUND(SUM(K21)-SUM(C21),1)</f>
        <v>-14.4</v>
      </c>
      <c r="O21" s="274">
        <f t="shared" ref="O21:O25" si="1">K21-E21</f>
        <v>-2.4000000000000909</v>
      </c>
      <c r="P21" s="1567"/>
      <c r="Q21" s="1567"/>
      <c r="R21" s="1567"/>
    </row>
    <row r="22" spans="1:28">
      <c r="A22" s="360" t="s">
        <v>247</v>
      </c>
      <c r="B22" s="389"/>
      <c r="C22" s="285">
        <v>2197</v>
      </c>
      <c r="D22" s="377"/>
      <c r="E22" s="285">
        <v>2199</v>
      </c>
      <c r="F22" s="389"/>
      <c r="G22" s="274">
        <f>+'Exh D Special Revenue State Fed'!G22</f>
        <v>2222</v>
      </c>
      <c r="H22" s="389"/>
      <c r="I22" s="274">
        <v>0</v>
      </c>
      <c r="J22" s="389"/>
      <c r="K22" s="274">
        <f t="shared" si="0"/>
        <v>2222</v>
      </c>
      <c r="L22" s="389"/>
      <c r="M22" s="274">
        <f t="shared" ref="M22:M25" si="2">ROUND(SUM(K22)-SUM(C22),1)</f>
        <v>25</v>
      </c>
      <c r="N22" s="389"/>
      <c r="O22" s="274">
        <f t="shared" si="1"/>
        <v>23</v>
      </c>
      <c r="P22" s="1567"/>
      <c r="Q22" s="1567"/>
      <c r="R22" s="1567"/>
      <c r="S22" s="389"/>
      <c r="V22" s="389"/>
      <c r="Y22" s="389"/>
      <c r="Z22" s="58"/>
      <c r="AA22" s="389"/>
    </row>
    <row r="23" spans="1:28" ht="15" customHeight="1">
      <c r="A23" s="360" t="s">
        <v>119</v>
      </c>
      <c r="C23" s="285">
        <v>19013</v>
      </c>
      <c r="D23" s="1886"/>
      <c r="E23" s="285">
        <v>20599</v>
      </c>
      <c r="G23" s="274">
        <f>+'Exh D Special Revenue State Fed'!G23+'Exh D Special Revenue State Fed'!S23</f>
        <v>21764</v>
      </c>
      <c r="I23" s="274">
        <v>0</v>
      </c>
      <c r="K23" s="274">
        <f t="shared" si="0"/>
        <v>21764</v>
      </c>
      <c r="M23" s="274">
        <f t="shared" si="2"/>
        <v>2751</v>
      </c>
      <c r="O23" s="274">
        <f t="shared" si="1"/>
        <v>1165</v>
      </c>
      <c r="P23" s="1567"/>
      <c r="Q23" s="1592"/>
      <c r="R23" s="1567"/>
    </row>
    <row r="24" spans="1:28" ht="15" customHeight="1">
      <c r="A24" s="360" t="s">
        <v>120</v>
      </c>
      <c r="C24" s="285">
        <v>83158</v>
      </c>
      <c r="D24" s="1885"/>
      <c r="E24" s="285">
        <v>84213</v>
      </c>
      <c r="G24" s="274">
        <f>+'Exh D Special Revenue State Fed'!G24+'Exh D Special Revenue State Fed'!S24</f>
        <v>84044.4</v>
      </c>
      <c r="I24" s="274">
        <v>0</v>
      </c>
      <c r="K24" s="274">
        <f t="shared" si="0"/>
        <v>84044.4</v>
      </c>
      <c r="M24" s="274">
        <f t="shared" si="2"/>
        <v>886.4</v>
      </c>
      <c r="O24" s="274">
        <f t="shared" si="1"/>
        <v>-168.60000000000582</v>
      </c>
      <c r="P24" s="1567"/>
      <c r="Q24" s="1567"/>
      <c r="R24" s="1567"/>
      <c r="T24" s="391"/>
      <c r="U24" s="399"/>
    </row>
    <row r="25" spans="1:28">
      <c r="A25" s="360" t="s">
        <v>1528</v>
      </c>
      <c r="B25" s="391"/>
      <c r="C25" s="856">
        <v>3648</v>
      </c>
      <c r="D25" s="1885"/>
      <c r="E25" s="856">
        <v>3440</v>
      </c>
      <c r="F25" s="391"/>
      <c r="G25" s="392">
        <f>+'Exh D Special Revenue State Fed'!G25+'Exh D Special Revenue State Fed'!S25</f>
        <v>3618.9</v>
      </c>
      <c r="H25" s="391"/>
      <c r="I25" s="392">
        <f>+'Exhibit G'!AB115</f>
        <v>-577.79999999999995</v>
      </c>
      <c r="J25" s="391"/>
      <c r="K25" s="393">
        <f t="shared" si="0"/>
        <v>3041.1000000000004</v>
      </c>
      <c r="L25" s="391"/>
      <c r="M25" s="274">
        <f t="shared" si="2"/>
        <v>-606.9</v>
      </c>
      <c r="N25" s="391"/>
      <c r="O25" s="274">
        <f t="shared" si="1"/>
        <v>-398.89999999999964</v>
      </c>
      <c r="P25" s="1595"/>
      <c r="Q25" s="1567"/>
      <c r="R25" s="1595"/>
      <c r="T25" s="391"/>
      <c r="U25" s="399"/>
    </row>
    <row r="26" spans="1:28" ht="18" customHeight="1">
      <c r="A26" s="1248" t="s">
        <v>268</v>
      </c>
      <c r="B26" s="36"/>
      <c r="C26" s="367">
        <f>ROUND(SUM(C20:C25),1)</f>
        <v>111609</v>
      </c>
      <c r="D26" s="36"/>
      <c r="E26" s="367">
        <f>ROUND(SUM(E20:E25),1)</f>
        <v>113910</v>
      </c>
      <c r="F26" s="36"/>
      <c r="G26" s="367">
        <f>ROUND(SUM(G20:G25),1)</f>
        <v>115106</v>
      </c>
      <c r="H26" s="36"/>
      <c r="I26" s="367">
        <f>ROUND(SUM(I20:I25),1)</f>
        <v>-577.79999999999995</v>
      </c>
      <c r="J26" s="36"/>
      <c r="K26" s="367">
        <f>ROUND(SUM(K20:K25),1)</f>
        <v>114528.2</v>
      </c>
      <c r="L26" s="36"/>
      <c r="M26" s="992">
        <f>ROUND(SUM(M20:M25),1)</f>
        <v>2919.2</v>
      </c>
      <c r="N26" s="36"/>
      <c r="O26" s="992">
        <f>ROUND(SUM(O20:O25),1)</f>
        <v>618.20000000000005</v>
      </c>
      <c r="P26" s="1595"/>
      <c r="Q26" s="1567"/>
      <c r="R26" s="1595"/>
      <c r="S26" s="36"/>
      <c r="T26" s="36"/>
      <c r="U26" s="36"/>
      <c r="V26" s="36"/>
      <c r="W26" s="36"/>
      <c r="X26" s="36"/>
      <c r="Y26" s="36"/>
      <c r="Z26" s="36"/>
      <c r="AA26" s="36"/>
      <c r="AB26" s="36"/>
    </row>
    <row r="27" spans="1:28">
      <c r="C27" s="274"/>
      <c r="E27" s="274"/>
      <c r="G27" s="629"/>
      <c r="I27" s="274"/>
      <c r="K27" s="274"/>
      <c r="M27" s="629"/>
      <c r="O27" s="629"/>
      <c r="P27" s="1597"/>
      <c r="Q27" s="1597"/>
      <c r="R27" s="1597"/>
    </row>
    <row r="28" spans="1:28">
      <c r="A28" s="3" t="s">
        <v>122</v>
      </c>
      <c r="C28" s="274"/>
      <c r="E28" s="274"/>
      <c r="G28" s="274"/>
      <c r="I28" s="274" t="s">
        <v>103</v>
      </c>
      <c r="K28" s="274" t="s">
        <v>103</v>
      </c>
      <c r="M28" s="274"/>
      <c r="O28" s="274"/>
      <c r="P28" s="1567"/>
      <c r="Q28" s="1567"/>
      <c r="R28" s="1567"/>
    </row>
    <row r="29" spans="1:28">
      <c r="A29" s="360" t="s">
        <v>250</v>
      </c>
      <c r="B29" s="389"/>
      <c r="C29" s="285">
        <v>94965</v>
      </c>
      <c r="D29" s="1885"/>
      <c r="E29" s="285">
        <v>99800</v>
      </c>
      <c r="F29" s="389"/>
      <c r="G29" s="297">
        <f>+'Exh D Special Revenue State Fed'!G29+'Exh D Special Revenue State Fed'!S29</f>
        <v>98684.9</v>
      </c>
      <c r="H29" s="389"/>
      <c r="I29" s="297">
        <v>0</v>
      </c>
      <c r="J29" s="389"/>
      <c r="K29" s="274">
        <f t="shared" ref="K29:K34" si="3">+G29+I29</f>
        <v>98684.9</v>
      </c>
      <c r="L29" s="389"/>
      <c r="M29" s="274">
        <f t="shared" ref="M29:M34" si="4">ROUND(SUM(K29)-SUM(C29),1)</f>
        <v>3719.9</v>
      </c>
      <c r="N29" s="389"/>
      <c r="O29" s="274">
        <f t="shared" ref="O29:O34" si="5">K29-E29</f>
        <v>-1115.1000000000058</v>
      </c>
      <c r="P29" s="1567"/>
      <c r="Q29" s="1567"/>
      <c r="R29" s="1567"/>
      <c r="T29" s="391"/>
      <c r="U29" s="399"/>
    </row>
    <row r="30" spans="1:28">
      <c r="A30" s="360" t="s">
        <v>251</v>
      </c>
      <c r="B30" s="389"/>
      <c r="C30" s="285">
        <v>11399</v>
      </c>
      <c r="D30" s="1885"/>
      <c r="E30" s="285">
        <v>11561</v>
      </c>
      <c r="F30" s="389"/>
      <c r="G30" s="297">
        <f>+'Exh D Special Revenue State Fed'!G30+'Exh D Special Revenue State Fed'!S30</f>
        <v>11953.400000000001</v>
      </c>
      <c r="H30" s="389"/>
      <c r="I30" s="297">
        <v>0</v>
      </c>
      <c r="J30" s="389"/>
      <c r="K30" s="274">
        <f t="shared" si="3"/>
        <v>11953.400000000001</v>
      </c>
      <c r="L30" s="389"/>
      <c r="M30" s="274">
        <f t="shared" si="4"/>
        <v>554.4</v>
      </c>
      <c r="N30" s="389"/>
      <c r="O30" s="274">
        <f t="shared" si="5"/>
        <v>392.40000000000146</v>
      </c>
      <c r="P30" s="1595"/>
      <c r="Q30" s="1567"/>
      <c r="R30" s="1595"/>
      <c r="T30" s="391"/>
      <c r="W30" s="391"/>
      <c r="X30" s="391"/>
      <c r="Z30" s="391"/>
      <c r="AB30" s="391"/>
    </row>
    <row r="31" spans="1:28">
      <c r="A31" s="360" t="s">
        <v>216</v>
      </c>
      <c r="B31" s="389"/>
      <c r="C31" s="285">
        <v>1490</v>
      </c>
      <c r="D31" s="1885"/>
      <c r="E31" s="285">
        <v>1500</v>
      </c>
      <c r="F31" s="389"/>
      <c r="G31" s="297">
        <f>+'Exh D Special Revenue State Fed'!G31+'Exh D Special Revenue State Fed'!S31</f>
        <v>1461.3</v>
      </c>
      <c r="H31" s="389"/>
      <c r="I31" s="297">
        <v>0</v>
      </c>
      <c r="J31" s="389"/>
      <c r="K31" s="274">
        <f t="shared" si="3"/>
        <v>1461.3</v>
      </c>
      <c r="L31" s="389"/>
      <c r="M31" s="274">
        <f t="shared" si="4"/>
        <v>-28.7</v>
      </c>
      <c r="N31" s="389"/>
      <c r="O31" s="274">
        <f t="shared" si="5"/>
        <v>-38.700000000000045</v>
      </c>
      <c r="P31" s="1592"/>
      <c r="Q31" s="1567"/>
      <c r="R31" s="1592"/>
      <c r="T31" s="391"/>
      <c r="U31" s="399"/>
      <c r="W31" s="391"/>
      <c r="X31" s="391"/>
      <c r="Z31" s="391"/>
      <c r="AB31" s="391"/>
    </row>
    <row r="32" spans="1:28">
      <c r="A32" s="360" t="s">
        <v>252</v>
      </c>
      <c r="B32" s="389"/>
      <c r="C32" s="285">
        <v>0</v>
      </c>
      <c r="D32" s="389"/>
      <c r="E32" s="285">
        <v>0</v>
      </c>
      <c r="F32" s="389"/>
      <c r="G32" s="297">
        <f>+'Exh D Special Revenue State Fed'!G32+'Exh D Special Revenue State Fed'!S32</f>
        <v>0</v>
      </c>
      <c r="H32" s="389"/>
      <c r="I32" s="297">
        <v>0</v>
      </c>
      <c r="J32" s="389"/>
      <c r="K32" s="274">
        <f t="shared" si="3"/>
        <v>0</v>
      </c>
      <c r="L32" s="389"/>
      <c r="M32" s="274">
        <f t="shared" si="4"/>
        <v>0</v>
      </c>
      <c r="N32" s="389"/>
      <c r="O32" s="274">
        <f t="shared" si="5"/>
        <v>0</v>
      </c>
      <c r="P32" s="1595"/>
      <c r="Q32" s="1567"/>
      <c r="R32" s="1595"/>
      <c r="T32" s="391"/>
      <c r="U32" s="399"/>
      <c r="W32" s="391"/>
      <c r="X32" s="391"/>
      <c r="Z32" s="391"/>
      <c r="AB32" s="391"/>
    </row>
    <row r="33" spans="1:28">
      <c r="A33" s="360" t="s">
        <v>140</v>
      </c>
      <c r="B33" s="389"/>
      <c r="C33" s="285">
        <v>0</v>
      </c>
      <c r="D33" s="389"/>
      <c r="E33" s="285">
        <v>0</v>
      </c>
      <c r="F33" s="389"/>
      <c r="G33" s="298">
        <f>+'Exh D Special Revenue State Fed'!G33+'Exh D Special Revenue State Fed'!S33</f>
        <v>0</v>
      </c>
      <c r="H33" s="389"/>
      <c r="I33" s="298">
        <v>0</v>
      </c>
      <c r="J33" s="389"/>
      <c r="K33" s="274">
        <f t="shared" si="3"/>
        <v>0</v>
      </c>
      <c r="L33" s="389"/>
      <c r="M33" s="274">
        <f t="shared" si="4"/>
        <v>0</v>
      </c>
      <c r="N33" s="389"/>
      <c r="O33" s="274">
        <f t="shared" si="5"/>
        <v>0</v>
      </c>
      <c r="P33" s="1595"/>
      <c r="Q33" s="1567"/>
      <c r="R33" s="1595"/>
      <c r="T33" s="391"/>
      <c r="U33" s="399"/>
    </row>
    <row r="34" spans="1:28">
      <c r="A34" s="360" t="s">
        <v>1529</v>
      </c>
      <c r="B34" s="389"/>
      <c r="C34" s="285">
        <v>2290</v>
      </c>
      <c r="D34" s="389"/>
      <c r="E34" s="285">
        <v>2267</v>
      </c>
      <c r="F34" s="389"/>
      <c r="G34" s="297">
        <f>+'Exh D Special Revenue State Fed'!G34+'Exh D Special Revenue State Fed'!S34</f>
        <v>3636.5</v>
      </c>
      <c r="H34" s="389"/>
      <c r="I34" s="297">
        <f>-'Exhibit G'!AB116</f>
        <v>-577.79999999999995</v>
      </c>
      <c r="J34" s="389"/>
      <c r="K34" s="274">
        <f t="shared" si="3"/>
        <v>3058.7</v>
      </c>
      <c r="L34" s="389"/>
      <c r="M34" s="274">
        <f t="shared" si="4"/>
        <v>768.7</v>
      </c>
      <c r="N34" s="389"/>
      <c r="O34" s="274">
        <f t="shared" si="5"/>
        <v>791.69999999999982</v>
      </c>
      <c r="P34" s="1595"/>
      <c r="Q34" s="1567"/>
      <c r="R34" s="1595"/>
      <c r="T34" s="391"/>
      <c r="U34" s="399"/>
    </row>
    <row r="35" spans="1:28" ht="18" customHeight="1">
      <c r="A35" s="1248" t="s">
        <v>277</v>
      </c>
      <c r="B35" s="36"/>
      <c r="C35" s="630">
        <f>ROUND(SUM(C29:C34),1)</f>
        <v>110144</v>
      </c>
      <c r="D35" s="36"/>
      <c r="E35" s="630">
        <f>ROUND(SUM(E29:E34),1)</f>
        <v>115128</v>
      </c>
      <c r="F35" s="36"/>
      <c r="G35" s="631">
        <f>ROUND(SUM(G29:G34),1)</f>
        <v>115736.1</v>
      </c>
      <c r="H35" s="36"/>
      <c r="I35" s="630">
        <f>ROUND(SUM(I29:I34),1)</f>
        <v>-577.79999999999995</v>
      </c>
      <c r="J35" s="36"/>
      <c r="K35" s="630">
        <f>ROUND(SUM(K29:K34),1)</f>
        <v>115158.3</v>
      </c>
      <c r="L35" s="36"/>
      <c r="M35" s="631">
        <f>ROUND(SUM(M29:M34),1)</f>
        <v>5014.3</v>
      </c>
      <c r="N35" s="36"/>
      <c r="O35" s="631">
        <f>ROUND(SUM(O29:O34),1)</f>
        <v>30.3</v>
      </c>
      <c r="P35" s="1595"/>
      <c r="Q35" s="1567"/>
      <c r="R35" s="1595"/>
      <c r="S35" s="36"/>
      <c r="T35" s="36"/>
      <c r="U35" s="36"/>
      <c r="V35" s="36"/>
      <c r="W35" s="36"/>
      <c r="X35" s="36"/>
      <c r="Y35" s="36"/>
      <c r="Z35" s="36"/>
      <c r="AA35" s="36"/>
      <c r="AB35" s="36"/>
    </row>
    <row r="36" spans="1:28">
      <c r="C36" s="274"/>
      <c r="E36" s="274"/>
      <c r="G36" s="629"/>
      <c r="I36" s="274"/>
      <c r="K36" s="274"/>
      <c r="M36" s="629"/>
      <c r="O36" s="629"/>
      <c r="P36" s="1597"/>
      <c r="Q36" s="1597"/>
      <c r="R36" s="1597"/>
    </row>
    <row r="37" spans="1:28">
      <c r="A37" s="3" t="s">
        <v>278</v>
      </c>
      <c r="C37" s="274"/>
      <c r="E37" s="274"/>
      <c r="G37" s="274"/>
      <c r="I37" s="274"/>
      <c r="K37" s="274"/>
      <c r="M37" s="274"/>
      <c r="O37" s="274"/>
      <c r="P37" s="1567"/>
      <c r="Q37" s="1567"/>
      <c r="R37" s="1567"/>
    </row>
    <row r="38" spans="1:28">
      <c r="A38" s="3" t="s">
        <v>279</v>
      </c>
      <c r="C38" s="274"/>
      <c r="E38" s="274"/>
      <c r="G38" s="274"/>
      <c r="I38" s="274"/>
      <c r="K38" s="274"/>
      <c r="M38" s="274"/>
      <c r="O38" s="274"/>
      <c r="P38" s="1567"/>
      <c r="Q38" s="1567"/>
      <c r="R38" s="1567"/>
    </row>
    <row r="39" spans="1:28">
      <c r="A39" s="1248" t="s">
        <v>259</v>
      </c>
      <c r="B39" s="42"/>
      <c r="C39" s="13">
        <f>ROUND(SUM(C26)-SUM(C35),1)</f>
        <v>1465</v>
      </c>
      <c r="D39" s="42"/>
      <c r="E39" s="13">
        <f>ROUND(SUM(E26)-SUM(E35),1)</f>
        <v>-1218</v>
      </c>
      <c r="F39" s="42"/>
      <c r="G39" s="13">
        <f>ROUND(SUM(G26)-SUM(G35),1)</f>
        <v>-630.1</v>
      </c>
      <c r="H39" s="42"/>
      <c r="I39" s="13">
        <v>0</v>
      </c>
      <c r="J39" s="42"/>
      <c r="K39" s="13">
        <f>+G39+I39</f>
        <v>-630.1</v>
      </c>
      <c r="L39" s="42"/>
      <c r="M39" s="13">
        <f>ROUND(SUM(M26)-SUM(M35),1)</f>
        <v>-2095.1</v>
      </c>
      <c r="N39" s="42"/>
      <c r="O39" s="13">
        <f>ROUND(SUM(O26)-SUM(O35),1)</f>
        <v>587.9</v>
      </c>
      <c r="P39" s="1567"/>
      <c r="Q39" s="1567"/>
      <c r="R39" s="1567"/>
      <c r="S39" s="42"/>
      <c r="T39" s="36"/>
      <c r="U39" s="36"/>
      <c r="V39" s="42"/>
      <c r="W39" s="36"/>
      <c r="X39" s="36"/>
      <c r="Y39" s="42"/>
      <c r="Z39" s="36"/>
      <c r="AA39" s="42"/>
      <c r="AB39" s="36"/>
    </row>
    <row r="40" spans="1:28" ht="15" customHeight="1">
      <c r="C40" s="274"/>
      <c r="E40" s="274"/>
      <c r="G40" s="274"/>
      <c r="I40" s="274"/>
      <c r="K40" s="274"/>
      <c r="M40" s="274"/>
      <c r="O40" s="274"/>
      <c r="P40" s="1597"/>
      <c r="Q40" s="1598"/>
      <c r="R40" s="1597"/>
    </row>
    <row r="41" spans="1:28">
      <c r="A41" s="1248" t="str">
        <f>+'Exh D Governmental  '!A49</f>
        <v>Fund Balances (Deficits) at April 1</v>
      </c>
      <c r="C41" s="26">
        <f>'Exh D Special Revenue State Fed'!C41+'Exh D Special Revenue State Fed'!O41</f>
        <v>20794</v>
      </c>
      <c r="E41" s="26">
        <f>'Exh D Special Revenue State Fed'!E41+'Exh D Special Revenue State Fed'!Q41</f>
        <v>20794</v>
      </c>
      <c r="G41" s="13">
        <f>'Exh D Special Revenue State Fed'!G41+'Exh D Special Revenue State Fed'!S41</f>
        <v>20794.8</v>
      </c>
      <c r="I41" s="13">
        <v>0</v>
      </c>
      <c r="K41" s="13">
        <f>+G41+I41</f>
        <v>20794.8</v>
      </c>
      <c r="M41" s="13">
        <f>ROUND(SUM(K41)-SUM(C41),1)</f>
        <v>0.8</v>
      </c>
      <c r="O41" s="13">
        <f t="shared" ref="O41" si="6">K41-E41</f>
        <v>0.7999999999992724</v>
      </c>
      <c r="P41" s="1567"/>
      <c r="Q41" s="1567"/>
      <c r="R41" s="1567"/>
    </row>
    <row r="42" spans="1:28" ht="18" customHeight="1" thickBot="1">
      <c r="A42" s="1248" t="str">
        <f>+'Exh D Governmental  '!A50</f>
        <v>Fund Balances (Deficits) at February 28, 2025</v>
      </c>
      <c r="B42" s="42"/>
      <c r="C42" s="688">
        <f>ROUND(SUM(C39:C41),1)</f>
        <v>22259</v>
      </c>
      <c r="D42" s="42"/>
      <c r="E42" s="688">
        <f>ROUND(SUM(E39:E41),1)</f>
        <v>19576</v>
      </c>
      <c r="F42" s="42"/>
      <c r="G42" s="688">
        <f>ROUND(SUM(G39:G41),1)</f>
        <v>20164.7</v>
      </c>
      <c r="H42" s="42"/>
      <c r="I42" s="688">
        <f>ROUND(SUM(I39:I41),1)</f>
        <v>0</v>
      </c>
      <c r="J42" s="42"/>
      <c r="K42" s="688">
        <f>ROUND(SUM(K39:K41),1)</f>
        <v>20164.7</v>
      </c>
      <c r="L42" s="42"/>
      <c r="M42" s="688">
        <f>ROUND(SUM(M39:M41),1)</f>
        <v>-2094.3000000000002</v>
      </c>
      <c r="N42" s="42"/>
      <c r="O42" s="688">
        <f>ROUND(SUM(O39:O41),1)</f>
        <v>588.70000000000005</v>
      </c>
      <c r="P42" s="1567"/>
      <c r="Q42" s="1567"/>
      <c r="R42" s="1567"/>
    </row>
    <row r="43" spans="1:28" ht="15" customHeight="1" thickTop="1">
      <c r="A43" s="39"/>
      <c r="E43" s="300"/>
      <c r="G43" s="284"/>
      <c r="I43" s="284"/>
      <c r="K43" s="284"/>
      <c r="M43" s="284"/>
      <c r="O43" s="568"/>
    </row>
    <row r="44" spans="1:28">
      <c r="A44" s="396" t="str">
        <f>'Exh D Governmental  '!A52</f>
        <v xml:space="preserve">(*)    Source: 2024-25 Enacted Budget dated May 24, 2024.  </v>
      </c>
    </row>
    <row r="45" spans="1:28">
      <c r="A45" s="396" t="str">
        <f>'Exh D Governmental  '!A53</f>
        <v>(**)   Source: 2025-26 Executive Budget with 30-day amendments dated February 20, 2025, which made no changes to the Executive Budget Financial Plan.</v>
      </c>
    </row>
    <row r="46" spans="1:28">
      <c r="A46" s="360" t="s">
        <v>1530</v>
      </c>
    </row>
    <row r="49" spans="1:1">
      <c r="A49" s="360"/>
    </row>
    <row r="51" spans="1:1">
      <c r="A51" s="59"/>
    </row>
    <row r="52" spans="1:1">
      <c r="A52" s="59"/>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69140625" defaultRowHeight="15.5"/>
  <cols>
    <col min="1" max="1" width="53.07421875" style="301" customWidth="1"/>
    <col min="2" max="2" width="0.6914062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4" width="1.07421875" style="266" customWidth="1"/>
    <col min="15" max="15" width="15.69140625" style="266" customWidth="1"/>
    <col min="16" max="16" width="1.07421875" style="266" customWidth="1"/>
    <col min="17" max="17" width="15.69140625" style="266" customWidth="1"/>
    <col min="18" max="18" width="1.07421875" style="266" customWidth="1"/>
    <col min="19" max="19" width="15.69140625" style="266" customWidth="1"/>
    <col min="20" max="20" width="1.07421875" style="266" customWidth="1"/>
    <col min="21" max="21" width="15.69140625" style="266" customWidth="1"/>
    <col min="22" max="22" width="1.07421875" style="266" customWidth="1"/>
    <col min="23" max="23" width="15.69140625" style="133" customWidth="1"/>
    <col min="24" max="24" width="1" style="266" customWidth="1"/>
    <col min="25" max="25" width="3.69140625" style="133" customWidth="1"/>
    <col min="26" max="26" width="1" style="266" customWidth="1"/>
    <col min="27" max="27" width="15.69140625" style="266" customWidth="1"/>
    <col min="28" max="28" width="0.69140625" style="266" customWidth="1"/>
    <col min="29" max="29" width="15.69140625" style="266" customWidth="1"/>
    <col min="30" max="30" width="7.421875E-2" style="266" customWidth="1"/>
    <col min="31" max="31" width="1.69140625" style="266" customWidth="1"/>
    <col min="32" max="32" width="11.4609375" style="266" customWidth="1"/>
    <col min="33" max="33" width="1.69140625" style="266" customWidth="1"/>
    <col min="34" max="34" width="11.69140625" style="266" customWidth="1"/>
    <col min="35" max="35" width="2.07421875" style="266" customWidth="1"/>
    <col min="36" max="36" width="11.4609375" style="266" customWidth="1"/>
    <col min="37" max="37" width="0.53515625" style="266" customWidth="1"/>
    <col min="38" max="38" width="2.07421875" style="266" customWidth="1"/>
    <col min="39" max="39" width="10.53515625" style="266" customWidth="1"/>
    <col min="40" max="40" width="11.07421875" style="266" customWidth="1"/>
    <col min="41" max="41" width="2.07421875" style="266" customWidth="1"/>
    <col min="42" max="42" width="11.07421875" style="266" customWidth="1"/>
    <col min="43" max="43" width="2.07421875" style="266" customWidth="1"/>
    <col min="44" max="44" width="12.4609375" style="266" customWidth="1"/>
    <col min="45" max="50" width="8.69140625" style="266"/>
    <col min="51" max="16384" width="8.69140625" style="301"/>
  </cols>
  <sheetData>
    <row r="1" spans="1:50">
      <c r="A1" s="397" t="s">
        <v>97</v>
      </c>
      <c r="B1" s="49"/>
      <c r="C1" s="129"/>
      <c r="D1" s="49"/>
      <c r="E1" s="129"/>
      <c r="F1" s="49"/>
      <c r="G1" s="49"/>
      <c r="H1" s="49"/>
      <c r="I1" s="49"/>
      <c r="J1" s="49"/>
      <c r="K1" s="49"/>
      <c r="L1" s="49"/>
      <c r="M1" s="49"/>
      <c r="N1" s="49"/>
      <c r="O1" s="49"/>
      <c r="P1" s="49"/>
      <c r="Q1" s="49"/>
      <c r="R1" s="49"/>
      <c r="S1" s="49"/>
      <c r="T1" s="49"/>
      <c r="U1" s="49"/>
      <c r="V1" s="49"/>
      <c r="W1" s="129"/>
      <c r="X1" s="49"/>
      <c r="Y1" s="129"/>
      <c r="Z1" s="49"/>
      <c r="AA1" s="49"/>
      <c r="AB1" s="49"/>
      <c r="AC1" s="49"/>
      <c r="AD1" s="49"/>
      <c r="AE1" s="49"/>
      <c r="AF1" s="49"/>
      <c r="AG1" s="49"/>
      <c r="AH1" s="49"/>
      <c r="AI1" s="49"/>
      <c r="AJ1" s="49"/>
      <c r="AK1" s="49"/>
      <c r="AL1" s="49"/>
      <c r="AM1" s="49"/>
      <c r="AN1" s="49"/>
      <c r="AO1" s="49"/>
      <c r="AP1" s="49"/>
      <c r="AQ1" s="49"/>
      <c r="AR1" s="49"/>
      <c r="AS1" s="301"/>
      <c r="AT1" s="301"/>
      <c r="AU1" s="301"/>
      <c r="AV1" s="301"/>
      <c r="AW1" s="301"/>
      <c r="AX1" s="301"/>
    </row>
    <row r="2" spans="1:50" ht="17.25" customHeight="1">
      <c r="A2" s="50"/>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c r="AD2" s="49"/>
      <c r="AE2" s="49"/>
      <c r="AF2" s="49"/>
      <c r="AG2" s="49"/>
      <c r="AH2" s="49"/>
      <c r="AI2" s="49"/>
      <c r="AJ2" s="49"/>
      <c r="AK2" s="49"/>
      <c r="AL2" s="49"/>
      <c r="AM2" s="49"/>
      <c r="AN2" s="49"/>
      <c r="AO2" s="49"/>
      <c r="AP2" s="49"/>
      <c r="AQ2" s="49"/>
      <c r="AR2" s="49"/>
      <c r="AS2" s="301"/>
      <c r="AT2" s="301"/>
      <c r="AU2" s="301"/>
      <c r="AV2" s="301"/>
      <c r="AW2" s="301"/>
      <c r="AX2" s="301"/>
    </row>
    <row r="3" spans="1:50" ht="18.75" customHeight="1">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c r="AD3" s="30"/>
      <c r="AE3" s="30"/>
      <c r="AF3" s="30"/>
      <c r="AG3" s="30"/>
      <c r="AH3" s="30"/>
      <c r="AI3" s="30"/>
      <c r="AJ3" s="30"/>
      <c r="AK3" s="30"/>
      <c r="AL3" s="30"/>
      <c r="AM3" s="30"/>
      <c r="AN3" s="30"/>
      <c r="AO3" s="30"/>
      <c r="AP3" s="30"/>
      <c r="AQ3" s="30"/>
      <c r="AR3" s="52"/>
      <c r="AS3" s="301"/>
      <c r="AT3" s="301"/>
      <c r="AU3" s="301"/>
      <c r="AV3" s="301"/>
      <c r="AW3" s="301"/>
      <c r="AX3" s="301"/>
    </row>
    <row r="4" spans="1:50" ht="18.75" customHeight="1">
      <c r="A4" s="51" t="s">
        <v>232</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c r="AD4" s="30"/>
      <c r="AE4" s="30"/>
      <c r="AF4" s="30"/>
      <c r="AG4" s="30"/>
      <c r="AH4" s="30"/>
      <c r="AI4" s="30"/>
      <c r="AJ4" s="30"/>
      <c r="AK4" s="30"/>
      <c r="AL4" s="30"/>
      <c r="AM4" s="30"/>
      <c r="AN4" s="30"/>
      <c r="AO4" s="30"/>
      <c r="AP4" s="30"/>
      <c r="AQ4" s="30"/>
      <c r="AR4" s="30"/>
      <c r="AS4" s="301"/>
      <c r="AT4" s="301"/>
      <c r="AU4" s="301"/>
      <c r="AV4" s="301"/>
      <c r="AW4" s="301"/>
      <c r="AX4" s="301"/>
    </row>
    <row r="5" spans="1:50" ht="18.75" customHeight="1">
      <c r="A5" s="2121" t="str">
        <f>'Exh D Governmental  '!A5</f>
        <v>FISCAL YEAR 2024-2025</v>
      </c>
      <c r="B5" s="2120"/>
      <c r="C5" s="2120"/>
      <c r="D5" s="2120"/>
      <c r="E5" s="2120"/>
      <c r="F5" s="30"/>
      <c r="G5" s="278"/>
      <c r="H5" s="30"/>
      <c r="I5" s="30"/>
      <c r="J5" s="30"/>
      <c r="K5" s="30"/>
      <c r="L5" s="30"/>
      <c r="M5" s="30"/>
      <c r="N5" s="30"/>
      <c r="O5" s="287"/>
      <c r="P5" s="30"/>
      <c r="Q5" s="30"/>
      <c r="R5" s="30"/>
      <c r="S5" s="30"/>
      <c r="T5" s="30"/>
      <c r="U5" s="30"/>
      <c r="V5" s="30"/>
      <c r="W5" s="130"/>
      <c r="X5" s="30"/>
      <c r="Y5" s="130"/>
      <c r="Z5" s="30"/>
      <c r="AA5" s="30"/>
      <c r="AB5" s="30"/>
      <c r="AC5" s="30"/>
      <c r="AD5" s="30"/>
      <c r="AE5" s="30"/>
      <c r="AF5" s="30"/>
      <c r="AG5" s="30"/>
      <c r="AH5" s="30"/>
      <c r="AI5" s="30"/>
      <c r="AJ5" s="30"/>
      <c r="AK5" s="30"/>
      <c r="AL5" s="30"/>
      <c r="AM5" s="30"/>
      <c r="AN5" s="30"/>
      <c r="AO5" s="30"/>
      <c r="AP5" s="30"/>
      <c r="AQ5" s="30"/>
      <c r="AR5" s="30"/>
      <c r="AS5" s="301"/>
      <c r="AT5" s="301"/>
      <c r="AU5" s="301"/>
      <c r="AV5" s="301"/>
      <c r="AW5" s="301"/>
      <c r="AX5" s="301"/>
    </row>
    <row r="6" spans="1:50" ht="18.75" customHeight="1">
      <c r="A6" s="33" t="str">
        <f>'Exh D Governmental  '!A6</f>
        <v>FOR ELEVEN MONTHS ENDED FEBRUARY 28,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301"/>
      <c r="AT6" s="301"/>
      <c r="AU6" s="301"/>
      <c r="AV6" s="301"/>
      <c r="AW6" s="301"/>
      <c r="AX6" s="301"/>
    </row>
    <row r="7" spans="1:50" ht="18.75" customHeight="1">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c r="AD7" s="30"/>
      <c r="AE7" s="30"/>
      <c r="AF7" s="30"/>
      <c r="AG7" s="30"/>
      <c r="AH7" s="30"/>
      <c r="AI7" s="30"/>
      <c r="AJ7" s="30"/>
      <c r="AK7" s="30"/>
      <c r="AL7" s="30"/>
      <c r="AM7" s="30"/>
      <c r="AN7" s="30"/>
      <c r="AO7" s="30"/>
      <c r="AP7" s="30"/>
      <c r="AQ7" s="30"/>
      <c r="AR7" s="30"/>
      <c r="AS7" s="301"/>
      <c r="AT7" s="301"/>
      <c r="AU7" s="301"/>
      <c r="AV7" s="301"/>
      <c r="AW7" s="301"/>
      <c r="AX7" s="301"/>
    </row>
    <row r="8" spans="1:50" ht="15" customHeight="1">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c r="AD8" s="30"/>
      <c r="AE8" s="30"/>
      <c r="AF8" s="30"/>
      <c r="AG8" s="30"/>
      <c r="AH8" s="30"/>
      <c r="AI8" s="30"/>
      <c r="AJ8" s="30"/>
      <c r="AK8" s="30"/>
      <c r="AL8" s="30"/>
      <c r="AM8" s="30"/>
      <c r="AN8" s="30"/>
      <c r="AO8" s="30"/>
      <c r="AP8" s="30"/>
      <c r="AQ8" s="30"/>
      <c r="AR8" s="30"/>
      <c r="AS8" s="301"/>
      <c r="AT8" s="301"/>
      <c r="AU8" s="301"/>
      <c r="AV8" s="301"/>
      <c r="AW8" s="301"/>
      <c r="AX8" s="301"/>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c r="AD9" s="30"/>
      <c r="AE9" s="30"/>
      <c r="AF9" s="30"/>
      <c r="AG9" s="30"/>
      <c r="AH9" s="30"/>
      <c r="AI9" s="30"/>
      <c r="AJ9" s="30"/>
      <c r="AK9" s="30"/>
      <c r="AL9" s="30"/>
      <c r="AM9" s="30"/>
      <c r="AN9" s="30"/>
      <c r="AO9" s="30"/>
      <c r="AP9" s="30"/>
      <c r="AQ9" s="30"/>
      <c r="AR9" s="30"/>
      <c r="AS9" s="301"/>
      <c r="AT9" s="301"/>
      <c r="AU9" s="301"/>
      <c r="AV9" s="301"/>
      <c r="AW9" s="301"/>
      <c r="AX9" s="301"/>
    </row>
    <row r="10" spans="1:50">
      <c r="A10" s="35"/>
      <c r="B10" s="30"/>
      <c r="C10" s="130"/>
      <c r="D10" s="30"/>
      <c r="E10" s="130"/>
      <c r="F10" s="30"/>
      <c r="G10" s="30"/>
      <c r="H10" s="30"/>
      <c r="I10" s="30"/>
      <c r="J10" s="30"/>
      <c r="K10" s="30"/>
      <c r="L10" s="30"/>
      <c r="M10" s="30"/>
      <c r="N10" s="30"/>
      <c r="O10" s="30"/>
      <c r="P10" s="30"/>
      <c r="Q10" s="30"/>
      <c r="R10" s="30"/>
      <c r="S10" s="30"/>
      <c r="T10" s="30"/>
      <c r="U10" s="30"/>
      <c r="V10" s="30"/>
      <c r="W10" s="130"/>
      <c r="X10" s="30"/>
      <c r="Y10" s="130"/>
      <c r="Z10" s="30"/>
      <c r="AA10" s="30"/>
      <c r="AB10" s="30"/>
      <c r="AC10" s="30"/>
      <c r="AD10" s="30"/>
      <c r="AE10" s="30"/>
      <c r="AF10" s="30"/>
      <c r="AG10" s="30"/>
      <c r="AH10" s="30"/>
      <c r="AI10" s="30"/>
      <c r="AJ10" s="30"/>
      <c r="AK10" s="30"/>
      <c r="AL10" s="30"/>
      <c r="AM10" s="30"/>
      <c r="AN10" s="30"/>
      <c r="AO10" s="30"/>
      <c r="AP10" s="30"/>
      <c r="AQ10" s="30"/>
      <c r="AR10" s="30"/>
      <c r="AS10" s="301"/>
      <c r="AT10" s="301"/>
      <c r="AU10" s="301"/>
      <c r="AV10" s="301"/>
      <c r="AW10" s="301"/>
      <c r="AX10" s="301"/>
    </row>
    <row r="11" spans="1:50">
      <c r="C11" s="2115" t="s">
        <v>1473</v>
      </c>
      <c r="D11" s="2115"/>
      <c r="E11" s="2115"/>
      <c r="F11" s="2115"/>
      <c r="G11" s="2115"/>
      <c r="H11" s="2115"/>
      <c r="I11" s="2115"/>
      <c r="J11" s="1249"/>
      <c r="K11" s="1249"/>
      <c r="L11" s="55"/>
      <c r="M11" s="55"/>
      <c r="N11" s="53"/>
      <c r="O11" s="2115" t="s">
        <v>1474</v>
      </c>
      <c r="P11" s="2115"/>
      <c r="Q11" s="2115"/>
      <c r="R11" s="2115"/>
      <c r="S11" s="2115"/>
      <c r="T11" s="2115"/>
      <c r="U11" s="2115"/>
      <c r="V11" s="1034"/>
      <c r="W11" s="1250"/>
      <c r="X11" s="543"/>
      <c r="Y11" s="543"/>
      <c r="Z11" s="543"/>
      <c r="AA11" s="543"/>
      <c r="AB11" s="543"/>
      <c r="AC11" s="543"/>
      <c r="AD11" s="36"/>
      <c r="AE11" s="53"/>
      <c r="AF11" s="53"/>
      <c r="AG11" s="53"/>
      <c r="AH11" s="53"/>
      <c r="AI11" s="53"/>
      <c r="AJ11" s="53"/>
      <c r="AK11" s="53"/>
      <c r="AL11" s="36"/>
      <c r="AM11" s="53"/>
      <c r="AN11" s="54"/>
      <c r="AO11" s="53"/>
      <c r="AP11" s="53"/>
      <c r="AQ11" s="53"/>
      <c r="AR11" s="53"/>
      <c r="AS11" s="301"/>
      <c r="AT11" s="301"/>
      <c r="AU11" s="301"/>
      <c r="AV11" s="301"/>
      <c r="AW11" s="301"/>
      <c r="AX11" s="301"/>
    </row>
    <row r="12" spans="1:50">
      <c r="C12" s="131"/>
      <c r="D12" s="55"/>
      <c r="E12" s="131"/>
      <c r="F12" s="55"/>
      <c r="G12" s="56"/>
      <c r="H12" s="55"/>
      <c r="I12" s="55" t="s">
        <v>235</v>
      </c>
      <c r="J12" s="55"/>
      <c r="K12" s="55" t="s">
        <v>235</v>
      </c>
      <c r="L12" s="55"/>
      <c r="M12" s="1604"/>
      <c r="N12" s="53"/>
      <c r="O12" s="131"/>
      <c r="P12" s="55"/>
      <c r="Q12" s="131"/>
      <c r="R12" s="55"/>
      <c r="S12" s="56"/>
      <c r="T12" s="55"/>
      <c r="U12" s="55" t="s">
        <v>235</v>
      </c>
      <c r="V12" s="55"/>
      <c r="W12" s="55" t="s">
        <v>235</v>
      </c>
      <c r="X12" s="55"/>
      <c r="Z12" s="55"/>
      <c r="AA12" s="56"/>
      <c r="AB12" s="55"/>
      <c r="AC12" s="55"/>
      <c r="AD12" s="36"/>
      <c r="AE12" s="53"/>
      <c r="AF12" s="53"/>
      <c r="AG12" s="53"/>
      <c r="AH12" s="53"/>
      <c r="AI12" s="53"/>
      <c r="AJ12" s="53"/>
      <c r="AK12" s="53"/>
      <c r="AL12" s="36"/>
      <c r="AM12" s="53"/>
      <c r="AN12" s="54"/>
      <c r="AO12" s="53"/>
      <c r="AP12" s="53"/>
      <c r="AQ12" s="53"/>
      <c r="AR12" s="53"/>
      <c r="AS12" s="301"/>
      <c r="AT12" s="301"/>
      <c r="AU12" s="301"/>
      <c r="AV12" s="301"/>
      <c r="AW12" s="301"/>
      <c r="AX12" s="301"/>
    </row>
    <row r="13" spans="1:50">
      <c r="B13" s="36"/>
      <c r="C13" s="132"/>
      <c r="D13" s="36"/>
      <c r="E13" s="132"/>
      <c r="F13" s="36"/>
      <c r="G13" s="36"/>
      <c r="H13" s="36"/>
      <c r="I13" s="37" t="s">
        <v>236</v>
      </c>
      <c r="J13" s="36"/>
      <c r="K13" s="37" t="s">
        <v>236</v>
      </c>
      <c r="L13" s="37"/>
      <c r="M13" s="1605"/>
      <c r="N13" s="37"/>
      <c r="O13" s="132"/>
      <c r="P13" s="36"/>
      <c r="Q13" s="132"/>
      <c r="R13" s="36"/>
      <c r="S13" s="36"/>
      <c r="T13" s="36"/>
      <c r="U13" s="37" t="s">
        <v>236</v>
      </c>
      <c r="V13" s="36"/>
      <c r="W13" s="37" t="s">
        <v>236</v>
      </c>
      <c r="X13" s="36"/>
      <c r="Y13" s="132"/>
      <c r="Z13" s="36"/>
      <c r="AA13" s="36"/>
      <c r="AB13" s="36"/>
      <c r="AC13" s="37"/>
      <c r="AD13" s="36"/>
      <c r="AE13" s="36"/>
      <c r="AF13" s="36"/>
      <c r="AG13" s="36"/>
      <c r="AH13" s="36"/>
      <c r="AI13" s="36"/>
      <c r="AJ13" s="38"/>
      <c r="AK13" s="37"/>
      <c r="AL13" s="36"/>
      <c r="AM13" s="36"/>
      <c r="AN13" s="36"/>
      <c r="AO13" s="36"/>
      <c r="AP13" s="36"/>
      <c r="AQ13" s="36"/>
      <c r="AR13" s="38"/>
      <c r="AS13" s="301"/>
      <c r="AT13" s="301"/>
      <c r="AU13" s="301"/>
      <c r="AV13" s="301"/>
      <c r="AW13" s="301"/>
      <c r="AX13" s="301"/>
    </row>
    <row r="14" spans="1:50">
      <c r="B14" s="57"/>
      <c r="C14" s="38" t="s">
        <v>238</v>
      </c>
      <c r="D14" s="36"/>
      <c r="E14" s="37" t="s">
        <v>239</v>
      </c>
      <c r="F14" s="36"/>
      <c r="G14" s="36"/>
      <c r="H14" s="36"/>
      <c r="I14" s="37" t="s">
        <v>240</v>
      </c>
      <c r="J14" s="36"/>
      <c r="K14" s="37" t="s">
        <v>240</v>
      </c>
      <c r="L14" s="37"/>
      <c r="M14" s="1605"/>
      <c r="N14" s="37"/>
      <c r="O14" s="38" t="s">
        <v>238</v>
      </c>
      <c r="P14" s="36"/>
      <c r="Q14" s="37" t="s">
        <v>239</v>
      </c>
      <c r="R14" s="36"/>
      <c r="S14" s="36"/>
      <c r="T14" s="36"/>
      <c r="U14" s="37" t="s">
        <v>240</v>
      </c>
      <c r="V14" s="36"/>
      <c r="W14" s="37" t="s">
        <v>240</v>
      </c>
      <c r="X14" s="301"/>
      <c r="Y14" s="37"/>
      <c r="Z14" s="36"/>
      <c r="AA14" s="36"/>
      <c r="AB14" s="36"/>
      <c r="AC14" s="37"/>
      <c r="AD14" s="36"/>
      <c r="AE14" s="38"/>
      <c r="AF14" s="37"/>
      <c r="AG14" s="36"/>
      <c r="AH14" s="36"/>
      <c r="AI14" s="36"/>
      <c r="AJ14" s="38"/>
      <c r="AK14" s="37"/>
      <c r="AL14" s="36"/>
      <c r="AM14" s="38"/>
      <c r="AN14" s="37"/>
      <c r="AO14" s="36"/>
      <c r="AP14" s="36"/>
      <c r="AQ14" s="36"/>
      <c r="AR14" s="38"/>
      <c r="AS14" s="301"/>
      <c r="AT14" s="301"/>
      <c r="AU14" s="301"/>
      <c r="AV14" s="301"/>
      <c r="AW14" s="301"/>
      <c r="AX14" s="301"/>
    </row>
    <row r="15" spans="1:50">
      <c r="B15" s="57"/>
      <c r="C15" s="37" t="s">
        <v>241</v>
      </c>
      <c r="D15" s="36"/>
      <c r="E15" s="37" t="s">
        <v>241</v>
      </c>
      <c r="F15" s="36"/>
      <c r="G15" s="36"/>
      <c r="H15" s="36"/>
      <c r="I15" s="37" t="s">
        <v>238</v>
      </c>
      <c r="J15" s="36"/>
      <c r="K15" s="37" t="s">
        <v>239</v>
      </c>
      <c r="L15" s="37"/>
      <c r="M15" s="1605"/>
      <c r="N15" s="37"/>
      <c r="O15" s="37" t="s">
        <v>241</v>
      </c>
      <c r="P15" s="36"/>
      <c r="Q15" s="37" t="s">
        <v>241</v>
      </c>
      <c r="R15" s="36"/>
      <c r="S15" s="36"/>
      <c r="T15" s="36"/>
      <c r="U15" s="37" t="s">
        <v>238</v>
      </c>
      <c r="V15" s="36"/>
      <c r="W15" s="37" t="s">
        <v>239</v>
      </c>
      <c r="X15" s="36"/>
      <c r="Y15" s="37"/>
      <c r="Z15" s="36"/>
      <c r="AA15" s="36"/>
      <c r="AB15" s="36"/>
      <c r="AC15" s="37"/>
      <c r="AD15" s="36"/>
      <c r="AE15" s="38"/>
      <c r="AF15" s="37"/>
      <c r="AG15" s="36"/>
      <c r="AH15" s="36"/>
      <c r="AI15" s="36"/>
      <c r="AJ15" s="38"/>
      <c r="AK15" s="37"/>
      <c r="AL15" s="36"/>
      <c r="AM15" s="38"/>
      <c r="AN15" s="37"/>
      <c r="AO15" s="36"/>
      <c r="AP15" s="36"/>
      <c r="AQ15" s="36"/>
      <c r="AR15" s="38"/>
      <c r="AS15" s="301"/>
      <c r="AT15" s="301"/>
      <c r="AU15" s="301"/>
      <c r="AV15" s="301"/>
      <c r="AW15" s="301"/>
      <c r="AX15" s="301"/>
    </row>
    <row r="16" spans="1:50">
      <c r="B16" s="37"/>
      <c r="C16" s="37" t="s">
        <v>242</v>
      </c>
      <c r="D16" s="36"/>
      <c r="E16" s="37" t="s">
        <v>1522</v>
      </c>
      <c r="F16" s="36"/>
      <c r="G16" s="38" t="s">
        <v>235</v>
      </c>
      <c r="H16" s="36"/>
      <c r="I16" s="37" t="s">
        <v>243</v>
      </c>
      <c r="J16" s="36"/>
      <c r="K16" s="37" t="s">
        <v>243</v>
      </c>
      <c r="L16" s="37"/>
      <c r="M16" s="1605"/>
      <c r="N16" s="37"/>
      <c r="O16" s="37" t="s">
        <v>242</v>
      </c>
      <c r="P16" s="36"/>
      <c r="Q16" s="37" t="s">
        <v>1522</v>
      </c>
      <c r="R16" s="36"/>
      <c r="S16" s="38" t="s">
        <v>235</v>
      </c>
      <c r="T16" s="36"/>
      <c r="U16" s="37" t="s">
        <v>243</v>
      </c>
      <c r="V16" s="36"/>
      <c r="W16" s="37" t="s">
        <v>243</v>
      </c>
      <c r="X16" s="36"/>
      <c r="Y16" s="37"/>
      <c r="Z16" s="36"/>
      <c r="AA16" s="36"/>
      <c r="AB16" s="36"/>
      <c r="AC16" s="37"/>
      <c r="AD16" s="36"/>
      <c r="AE16" s="37"/>
      <c r="AF16" s="37"/>
      <c r="AG16" s="36"/>
      <c r="AH16" s="38"/>
      <c r="AI16" s="36"/>
      <c r="AJ16" s="38"/>
      <c r="AK16" s="37"/>
      <c r="AL16" s="36"/>
      <c r="AM16" s="37"/>
      <c r="AN16" s="37"/>
      <c r="AO16" s="36"/>
      <c r="AP16" s="38"/>
      <c r="AQ16" s="36"/>
      <c r="AR16" s="38"/>
      <c r="AS16" s="301"/>
      <c r="AT16" s="301"/>
      <c r="AU16" s="301"/>
      <c r="AV16" s="301"/>
      <c r="AW16" s="301"/>
      <c r="AX16" s="301"/>
    </row>
    <row r="17" spans="1:50">
      <c r="A17" s="39"/>
      <c r="B17" s="30"/>
      <c r="C17" s="1032"/>
      <c r="D17" s="30"/>
      <c r="E17" s="1032"/>
      <c r="F17" s="30"/>
      <c r="G17" s="1032"/>
      <c r="H17" s="30"/>
      <c r="I17" s="1032"/>
      <c r="J17" s="30"/>
      <c r="K17" s="1032"/>
      <c r="L17" s="30"/>
      <c r="M17" s="1606"/>
      <c r="N17" s="30"/>
      <c r="O17" s="1032"/>
      <c r="P17" s="30"/>
      <c r="Q17" s="1032"/>
      <c r="R17" s="30"/>
      <c r="S17" s="1032"/>
      <c r="T17" s="30"/>
      <c r="U17" s="1032"/>
      <c r="V17" s="30"/>
      <c r="W17" s="1032"/>
      <c r="X17" s="30"/>
      <c r="Y17" s="30"/>
      <c r="Z17" s="30"/>
      <c r="AA17" s="36"/>
      <c r="AB17" s="36"/>
      <c r="AC17" s="37"/>
      <c r="AD17" s="30"/>
      <c r="AE17" s="30"/>
      <c r="AF17" s="30"/>
      <c r="AG17" s="30"/>
      <c r="AH17" s="30"/>
      <c r="AI17" s="30"/>
      <c r="AJ17" s="30"/>
      <c r="AK17" s="30"/>
      <c r="AL17" s="30"/>
      <c r="AM17" s="30"/>
      <c r="AN17" s="30"/>
      <c r="AO17" s="30"/>
      <c r="AP17" s="30"/>
      <c r="AQ17" s="30"/>
      <c r="AR17" s="30"/>
      <c r="AS17" s="301"/>
      <c r="AT17" s="301"/>
      <c r="AU17" s="301"/>
      <c r="AV17" s="301"/>
      <c r="AW17" s="301"/>
      <c r="AX17" s="301"/>
    </row>
    <row r="18" spans="1:50">
      <c r="A18" s="3" t="s">
        <v>114</v>
      </c>
      <c r="C18" s="266"/>
      <c r="E18" s="266"/>
      <c r="M18" s="1607"/>
      <c r="W18" s="266"/>
      <c r="Y18" s="266"/>
      <c r="AA18" s="38"/>
      <c r="AB18" s="36"/>
      <c r="AC18" s="37"/>
      <c r="AS18" s="301"/>
      <c r="AT18" s="301"/>
      <c r="AU18" s="301"/>
      <c r="AV18" s="301"/>
      <c r="AW18" s="301"/>
      <c r="AX18" s="301"/>
    </row>
    <row r="19" spans="1:50">
      <c r="A19" s="360" t="s">
        <v>244</v>
      </c>
      <c r="B19" s="389"/>
      <c r="C19" s="266"/>
      <c r="D19" s="389"/>
      <c r="E19" s="266"/>
      <c r="F19" s="389"/>
      <c r="H19" s="389"/>
      <c r="J19" s="389"/>
      <c r="M19" s="1607"/>
      <c r="P19" s="389"/>
      <c r="R19" s="389"/>
      <c r="T19" s="389"/>
      <c r="V19" s="389"/>
      <c r="W19" s="266"/>
      <c r="Y19" s="266"/>
      <c r="AA19" s="30"/>
      <c r="AB19" s="30"/>
      <c r="AC19" s="30"/>
      <c r="AS19" s="301"/>
      <c r="AT19" s="301"/>
      <c r="AU19" s="301"/>
      <c r="AV19" s="301"/>
      <c r="AW19" s="301"/>
      <c r="AX19" s="301"/>
    </row>
    <row r="20" spans="1:50">
      <c r="A20" s="360" t="s">
        <v>245</v>
      </c>
      <c r="B20" s="389" t="s">
        <v>103</v>
      </c>
      <c r="C20" s="287">
        <v>1566</v>
      </c>
      <c r="D20" s="286"/>
      <c r="E20" s="287">
        <v>1444</v>
      </c>
      <c r="F20" s="286"/>
      <c r="G20" s="284">
        <f>'Exhibit G State'!AC17</f>
        <v>1444.1</v>
      </c>
      <c r="H20" s="286"/>
      <c r="I20" s="284">
        <f t="shared" ref="I20:I25" si="0">G20-C20</f>
        <v>-121.90000000000009</v>
      </c>
      <c r="J20" s="286"/>
      <c r="K20" s="284">
        <f>G20-E20</f>
        <v>9.9999999999909051E-2</v>
      </c>
      <c r="L20" s="284"/>
      <c r="M20" s="1576"/>
      <c r="O20" s="287">
        <v>0</v>
      </c>
      <c r="P20" s="286"/>
      <c r="Q20" s="287">
        <v>0</v>
      </c>
      <c r="R20" s="286"/>
      <c r="S20" s="284">
        <v>0</v>
      </c>
      <c r="T20" s="286"/>
      <c r="U20" s="284">
        <f>S20-O20</f>
        <v>0</v>
      </c>
      <c r="V20" s="286"/>
      <c r="W20" s="284">
        <f>S20-Q20</f>
        <v>0</v>
      </c>
      <c r="X20" s="286"/>
      <c r="Y20" s="1608"/>
      <c r="Z20" s="286"/>
      <c r="AA20" s="1712"/>
      <c r="AB20" s="1712"/>
      <c r="AC20" s="1712"/>
      <c r="AF20" s="1712"/>
      <c r="AG20" s="1712"/>
      <c r="AH20" s="1712"/>
      <c r="AS20" s="301"/>
      <c r="AT20" s="301"/>
      <c r="AU20" s="301"/>
      <c r="AV20" s="301"/>
      <c r="AW20" s="301"/>
      <c r="AX20" s="301"/>
    </row>
    <row r="21" spans="1:50">
      <c r="A21" s="360" t="s">
        <v>246</v>
      </c>
      <c r="B21" s="266" t="s">
        <v>103</v>
      </c>
      <c r="C21" s="285">
        <v>2027</v>
      </c>
      <c r="D21" s="1885"/>
      <c r="E21" s="285">
        <v>2015</v>
      </c>
      <c r="F21" s="274"/>
      <c r="G21" s="274">
        <f>'Exhibit G State'!AC29</f>
        <v>2012.6</v>
      </c>
      <c r="H21" s="274"/>
      <c r="I21" s="274">
        <f t="shared" si="0"/>
        <v>-14.400000000000091</v>
      </c>
      <c r="J21" s="274"/>
      <c r="K21" s="274">
        <f t="shared" ref="K21:K25" si="1">G21-E21</f>
        <v>-2.4000000000000909</v>
      </c>
      <c r="L21" s="274"/>
      <c r="M21" s="1017"/>
      <c r="O21" s="285">
        <v>0</v>
      </c>
      <c r="P21" s="1885"/>
      <c r="Q21" s="285">
        <v>0</v>
      </c>
      <c r="R21" s="274"/>
      <c r="S21" s="274">
        <v>0</v>
      </c>
      <c r="T21" s="274"/>
      <c r="U21" s="274">
        <f t="shared" ref="U21:U25" si="2">S21-O21</f>
        <v>0</v>
      </c>
      <c r="V21" s="274"/>
      <c r="W21" s="274">
        <f t="shared" ref="W21:W25" si="3">S21-Q21</f>
        <v>0</v>
      </c>
      <c r="X21" s="274"/>
      <c r="Y21" s="1608"/>
      <c r="Z21" s="274"/>
      <c r="AA21" s="1712"/>
      <c r="AB21" s="1889"/>
      <c r="AC21" s="1712"/>
      <c r="AD21" s="274"/>
      <c r="AE21" s="274"/>
      <c r="AF21" s="1712"/>
      <c r="AG21" s="1712"/>
      <c r="AH21" s="1712"/>
      <c r="AS21" s="301"/>
      <c r="AT21" s="301"/>
      <c r="AU21" s="301"/>
      <c r="AV21" s="301"/>
      <c r="AW21" s="301"/>
      <c r="AX21" s="301"/>
    </row>
    <row r="22" spans="1:50">
      <c r="A22" s="360" t="s">
        <v>247</v>
      </c>
      <c r="B22" s="389" t="s">
        <v>103</v>
      </c>
      <c r="C22" s="285">
        <v>2197</v>
      </c>
      <c r="D22" s="377"/>
      <c r="E22" s="285">
        <v>2199</v>
      </c>
      <c r="F22" s="297"/>
      <c r="G22" s="274">
        <f>'Exhibit G State'!AC36</f>
        <v>2222</v>
      </c>
      <c r="H22" s="297"/>
      <c r="I22" s="274">
        <f t="shared" si="0"/>
        <v>25</v>
      </c>
      <c r="J22" s="297"/>
      <c r="K22" s="274">
        <f t="shared" si="1"/>
        <v>23</v>
      </c>
      <c r="L22" s="274"/>
      <c r="M22" s="1017"/>
      <c r="O22" s="285">
        <v>0</v>
      </c>
      <c r="P22" s="377"/>
      <c r="Q22" s="285">
        <v>0</v>
      </c>
      <c r="R22" s="297"/>
      <c r="S22" s="274">
        <v>0</v>
      </c>
      <c r="T22" s="297"/>
      <c r="U22" s="274">
        <f t="shared" si="2"/>
        <v>0</v>
      </c>
      <c r="V22" s="297"/>
      <c r="W22" s="274">
        <f t="shared" si="3"/>
        <v>0</v>
      </c>
      <c r="X22" s="297"/>
      <c r="Y22" s="1608"/>
      <c r="Z22" s="297"/>
      <c r="AA22" s="1890"/>
      <c r="AB22" s="1889"/>
      <c r="AC22" s="1712"/>
      <c r="AD22" s="297"/>
      <c r="AE22" s="274"/>
      <c r="AF22" s="1712"/>
      <c r="AG22" s="1889"/>
      <c r="AH22" s="1712"/>
      <c r="AI22" s="389"/>
      <c r="AL22" s="389"/>
      <c r="AO22" s="389"/>
      <c r="AP22" s="58"/>
      <c r="AQ22" s="389"/>
      <c r="AS22" s="301"/>
      <c r="AT22" s="301"/>
      <c r="AU22" s="301"/>
      <c r="AV22" s="301"/>
      <c r="AW22" s="301"/>
      <c r="AX22" s="301"/>
    </row>
    <row r="23" spans="1:50" ht="15" customHeight="1">
      <c r="A23" s="360" t="s">
        <v>119</v>
      </c>
      <c r="B23" s="266" t="s">
        <v>103</v>
      </c>
      <c r="C23" s="285">
        <v>18350</v>
      </c>
      <c r="D23" s="1886"/>
      <c r="E23" s="285">
        <v>19708</v>
      </c>
      <c r="F23" s="1229"/>
      <c r="G23" s="274">
        <f>'Exhibit G State'!AC82</f>
        <v>20926</v>
      </c>
      <c r="H23" s="1229"/>
      <c r="I23" s="274">
        <f t="shared" si="0"/>
        <v>2576</v>
      </c>
      <c r="J23" s="1229"/>
      <c r="K23" s="274">
        <f t="shared" si="1"/>
        <v>1218</v>
      </c>
      <c r="L23" s="274"/>
      <c r="M23" s="1017"/>
      <c r="O23" s="285">
        <v>663</v>
      </c>
      <c r="P23" s="1886"/>
      <c r="Q23" s="285">
        <v>891</v>
      </c>
      <c r="R23" s="1229"/>
      <c r="S23" s="298">
        <f>'Exhibit G Federal'!AC52</f>
        <v>838</v>
      </c>
      <c r="T23" s="1229"/>
      <c r="U23" s="274">
        <f t="shared" si="2"/>
        <v>175</v>
      </c>
      <c r="V23" s="1229"/>
      <c r="W23" s="274">
        <f t="shared" si="3"/>
        <v>-53</v>
      </c>
      <c r="X23" s="274"/>
      <c r="Y23" s="1608"/>
      <c r="Z23" s="274"/>
      <c r="AA23" s="1712"/>
      <c r="AB23" s="1712"/>
      <c r="AC23" s="1712"/>
      <c r="AD23" s="274"/>
      <c r="AE23" s="274"/>
      <c r="AF23" s="1712"/>
      <c r="AG23" s="1712"/>
      <c r="AH23" s="1712"/>
      <c r="AS23" s="301"/>
      <c r="AT23" s="301"/>
      <c r="AU23" s="301"/>
      <c r="AV23" s="301"/>
      <c r="AW23" s="301"/>
      <c r="AX23" s="301"/>
    </row>
    <row r="24" spans="1:50" ht="15" customHeight="1">
      <c r="A24" s="360" t="s">
        <v>120</v>
      </c>
      <c r="B24" s="266" t="s">
        <v>103</v>
      </c>
      <c r="C24" s="285">
        <v>-16</v>
      </c>
      <c r="D24" s="1885"/>
      <c r="E24" s="285">
        <v>-11</v>
      </c>
      <c r="F24" s="274"/>
      <c r="G24" s="298">
        <f>'Exhibit G State'!AC84</f>
        <v>-12</v>
      </c>
      <c r="H24" s="274"/>
      <c r="I24" s="274">
        <f t="shared" si="0"/>
        <v>4</v>
      </c>
      <c r="J24" s="274"/>
      <c r="K24" s="274">
        <f t="shared" si="1"/>
        <v>-1</v>
      </c>
      <c r="L24" s="274"/>
      <c r="M24" s="1017"/>
      <c r="O24" s="285">
        <v>83174</v>
      </c>
      <c r="P24" s="1885"/>
      <c r="Q24" s="285">
        <v>84224</v>
      </c>
      <c r="R24" s="274"/>
      <c r="S24" s="298">
        <f>'Exhibit G Federal'!AC54</f>
        <v>84056.4</v>
      </c>
      <c r="T24" s="274"/>
      <c r="U24" s="274">
        <f t="shared" si="2"/>
        <v>882.39999999999418</v>
      </c>
      <c r="V24" s="274"/>
      <c r="W24" s="274">
        <f t="shared" si="3"/>
        <v>-167.60000000000582</v>
      </c>
      <c r="X24" s="274"/>
      <c r="Y24" s="1608"/>
      <c r="Z24" s="274"/>
      <c r="AA24" s="1712"/>
      <c r="AB24" s="1889"/>
      <c r="AC24" s="1712"/>
      <c r="AD24" s="274"/>
      <c r="AE24" s="285"/>
      <c r="AF24" s="1891"/>
      <c r="AG24" s="1712"/>
      <c r="AH24" s="1891"/>
      <c r="AJ24" s="391"/>
      <c r="AK24" s="399"/>
      <c r="AS24" s="301"/>
      <c r="AT24" s="301"/>
      <c r="AU24" s="301"/>
      <c r="AV24" s="301"/>
      <c r="AW24" s="301"/>
      <c r="AX24" s="301"/>
    </row>
    <row r="25" spans="1:50">
      <c r="A25" s="360" t="s">
        <v>147</v>
      </c>
      <c r="B25" s="399" t="s">
        <v>103</v>
      </c>
      <c r="C25" s="856">
        <v>3648</v>
      </c>
      <c r="D25" s="1885"/>
      <c r="E25" s="856">
        <v>3440</v>
      </c>
      <c r="F25" s="274"/>
      <c r="G25" s="298">
        <f>'Exhibit G State'!AC113</f>
        <v>3618.9</v>
      </c>
      <c r="H25" s="274"/>
      <c r="I25" s="274">
        <f t="shared" si="0"/>
        <v>-29.099999999999909</v>
      </c>
      <c r="J25" s="274"/>
      <c r="K25" s="274">
        <f t="shared" si="1"/>
        <v>178.90000000000009</v>
      </c>
      <c r="L25" s="274"/>
      <c r="M25" s="1017"/>
      <c r="N25" s="399"/>
      <c r="O25" s="856">
        <v>0</v>
      </c>
      <c r="P25" s="1885"/>
      <c r="Q25" s="856">
        <v>0</v>
      </c>
      <c r="R25" s="274"/>
      <c r="S25" s="298">
        <f>'Exhibit G Federal'!AC85</f>
        <v>0</v>
      </c>
      <c r="T25" s="274"/>
      <c r="U25" s="274">
        <f t="shared" si="2"/>
        <v>0</v>
      </c>
      <c r="V25" s="274"/>
      <c r="W25" s="274">
        <f t="shared" si="3"/>
        <v>0</v>
      </c>
      <c r="X25" s="274"/>
      <c r="Y25" s="1608"/>
      <c r="Z25" s="274"/>
      <c r="AA25" s="1712"/>
      <c r="AB25" s="1712"/>
      <c r="AC25" s="1712"/>
      <c r="AD25" s="274"/>
      <c r="AE25" s="285"/>
      <c r="AF25" s="1891"/>
      <c r="AG25" s="1712"/>
      <c r="AH25" s="1891"/>
      <c r="AJ25" s="391"/>
      <c r="AK25" s="399"/>
      <c r="AS25" s="301"/>
      <c r="AT25" s="301"/>
      <c r="AU25" s="301"/>
      <c r="AV25" s="301"/>
      <c r="AW25" s="301"/>
      <c r="AX25" s="301"/>
    </row>
    <row r="26" spans="1:50" ht="18" customHeight="1">
      <c r="A26" s="1248" t="s">
        <v>268</v>
      </c>
      <c r="B26" s="36" t="s">
        <v>103</v>
      </c>
      <c r="C26" s="631">
        <f>ROUND(SUM(C20:C25),1)</f>
        <v>27772</v>
      </c>
      <c r="D26" s="13"/>
      <c r="E26" s="631">
        <f>ROUND(SUM(E20:E25),1)</f>
        <v>28795</v>
      </c>
      <c r="F26" s="13"/>
      <c r="G26" s="631">
        <f>ROUND(SUM(G20:G25),1)</f>
        <v>30211.599999999999</v>
      </c>
      <c r="H26" s="13"/>
      <c r="I26" s="630">
        <f>ROUND(SUM(I20:I25),1)</f>
        <v>2439.6</v>
      </c>
      <c r="J26" s="13"/>
      <c r="K26" s="630">
        <f>ROUND(SUM(K20:K25),1)</f>
        <v>1416.6</v>
      </c>
      <c r="L26" s="13"/>
      <c r="M26" s="1578"/>
      <c r="O26" s="631">
        <f>ROUND(SUM(O20:O25),1)</f>
        <v>83837</v>
      </c>
      <c r="P26" s="13"/>
      <c r="Q26" s="631">
        <f>ROUND(SUM(Q20:Q25),1)</f>
        <v>85115</v>
      </c>
      <c r="R26" s="13"/>
      <c r="S26" s="630">
        <f>ROUND(SUM(S20:S25),1)</f>
        <v>84894.399999999994</v>
      </c>
      <c r="T26" s="13"/>
      <c r="U26" s="630">
        <f>ROUND(SUM(U20:U25),1)</f>
        <v>1057.4000000000001</v>
      </c>
      <c r="V26" s="13"/>
      <c r="W26" s="630">
        <f>ROUND(SUM(W20:W25),1)</f>
        <v>-220.6</v>
      </c>
      <c r="X26" s="13"/>
      <c r="Y26" s="13"/>
      <c r="Z26" s="13"/>
      <c r="AA26" s="1712"/>
      <c r="AB26" s="1712"/>
      <c r="AC26" s="1712"/>
      <c r="AD26" s="13"/>
      <c r="AE26" s="13"/>
      <c r="AF26" s="1810"/>
      <c r="AG26" s="1810"/>
      <c r="AH26" s="1810"/>
      <c r="AI26" s="36"/>
      <c r="AJ26" s="36"/>
      <c r="AK26" s="36"/>
      <c r="AL26" s="36"/>
      <c r="AM26" s="36"/>
      <c r="AN26" s="36"/>
      <c r="AO26" s="36"/>
      <c r="AP26" s="36"/>
      <c r="AQ26" s="36"/>
      <c r="AR26" s="36"/>
      <c r="AS26" s="301"/>
      <c r="AT26" s="301"/>
      <c r="AU26" s="301"/>
      <c r="AV26" s="301"/>
      <c r="AW26" s="301"/>
      <c r="AX26" s="301"/>
    </row>
    <row r="27" spans="1:50">
      <c r="C27" s="629"/>
      <c r="D27" s="274"/>
      <c r="E27" s="629"/>
      <c r="F27" s="274"/>
      <c r="G27" s="629"/>
      <c r="H27" s="274"/>
      <c r="I27" s="274"/>
      <c r="J27" s="274"/>
      <c r="K27" s="274"/>
      <c r="L27" s="274"/>
      <c r="M27" s="1017"/>
      <c r="O27" s="629"/>
      <c r="P27" s="274"/>
      <c r="Q27" s="629"/>
      <c r="R27" s="274"/>
      <c r="S27" s="629"/>
      <c r="T27" s="274"/>
      <c r="U27" s="274"/>
      <c r="V27" s="274"/>
      <c r="W27" s="274"/>
      <c r="X27" s="274"/>
      <c r="Y27" s="274"/>
      <c r="Z27" s="274"/>
      <c r="AA27" s="1889"/>
      <c r="AB27" s="1712"/>
      <c r="AC27" s="1712"/>
      <c r="AD27" s="274"/>
      <c r="AE27" s="274"/>
      <c r="AF27" s="1712"/>
      <c r="AG27" s="1712"/>
      <c r="AH27" s="1712"/>
      <c r="AS27" s="301"/>
      <c r="AT27" s="301"/>
      <c r="AU27" s="301"/>
      <c r="AV27" s="301"/>
      <c r="AW27" s="301"/>
      <c r="AX27" s="301"/>
    </row>
    <row r="28" spans="1:50">
      <c r="A28" s="3" t="s">
        <v>122</v>
      </c>
      <c r="C28" s="274"/>
      <c r="D28" s="274"/>
      <c r="E28" s="274"/>
      <c r="F28" s="274"/>
      <c r="G28" s="274"/>
      <c r="H28" s="274"/>
      <c r="I28" s="274"/>
      <c r="J28" s="274"/>
      <c r="K28" s="274"/>
      <c r="L28" s="274"/>
      <c r="M28" s="1017"/>
      <c r="O28" s="274"/>
      <c r="P28" s="274"/>
      <c r="Q28" s="274"/>
      <c r="R28" s="274"/>
      <c r="S28" s="274"/>
      <c r="T28" s="274"/>
      <c r="U28" s="274"/>
      <c r="V28" s="274"/>
      <c r="W28" s="274"/>
      <c r="X28" s="274"/>
      <c r="Y28" s="274"/>
      <c r="Z28" s="274"/>
      <c r="AA28" s="1810"/>
      <c r="AB28" s="1810"/>
      <c r="AC28" s="1810"/>
      <c r="AD28" s="274"/>
      <c r="AE28" s="274"/>
      <c r="AF28" s="1712"/>
      <c r="AG28" s="1712"/>
      <c r="AH28" s="1712"/>
      <c r="AS28" s="301"/>
      <c r="AT28" s="301"/>
      <c r="AU28" s="301"/>
      <c r="AV28" s="301"/>
      <c r="AW28" s="301"/>
      <c r="AX28" s="301"/>
    </row>
    <row r="29" spans="1:50">
      <c r="A29" s="360" t="s">
        <v>250</v>
      </c>
      <c r="B29" s="389" t="s">
        <v>103</v>
      </c>
      <c r="C29" s="285">
        <v>18558</v>
      </c>
      <c r="D29" s="1885"/>
      <c r="E29" s="285">
        <v>18797</v>
      </c>
      <c r="F29" s="274"/>
      <c r="G29" s="297">
        <f>'Exhibit G State'!AC100</f>
        <v>19131.2</v>
      </c>
      <c r="H29" s="274"/>
      <c r="I29" s="274">
        <f t="shared" ref="I29:I34" si="4">G29-C29</f>
        <v>573.20000000000073</v>
      </c>
      <c r="J29" s="274"/>
      <c r="K29" s="274">
        <f t="shared" ref="K29:K34" si="5">G29-E29</f>
        <v>334.20000000000073</v>
      </c>
      <c r="L29" s="274"/>
      <c r="M29" s="1017"/>
      <c r="O29" s="285">
        <v>76407</v>
      </c>
      <c r="P29" s="1885"/>
      <c r="Q29" s="285">
        <v>81003</v>
      </c>
      <c r="R29" s="274"/>
      <c r="S29" s="297">
        <f>'Exhibit G Federal'!AC70</f>
        <v>79553.7</v>
      </c>
      <c r="T29" s="274"/>
      <c r="U29" s="274">
        <f t="shared" ref="U29:U34" si="6">S29-O29</f>
        <v>3146.6999999999971</v>
      </c>
      <c r="V29" s="274"/>
      <c r="W29" s="274">
        <f t="shared" ref="W29:W34" si="7">S29-Q29</f>
        <v>-1449.3000000000029</v>
      </c>
      <c r="X29" s="274"/>
      <c r="Y29" s="1608"/>
      <c r="Z29" s="274"/>
      <c r="AA29" s="1712"/>
      <c r="AB29" s="1712"/>
      <c r="AC29" s="1712"/>
      <c r="AD29" s="274"/>
      <c r="AE29" s="285"/>
      <c r="AF29" s="1891"/>
      <c r="AG29" s="1712"/>
      <c r="AH29" s="1891"/>
      <c r="AJ29" s="391"/>
      <c r="AK29" s="399"/>
      <c r="AS29" s="301"/>
      <c r="AT29" s="301"/>
      <c r="AU29" s="301"/>
      <c r="AV29" s="301"/>
      <c r="AW29" s="301"/>
      <c r="AX29" s="301"/>
    </row>
    <row r="30" spans="1:50">
      <c r="A30" s="360" t="s">
        <v>251</v>
      </c>
      <c r="B30" s="389" t="s">
        <v>103</v>
      </c>
      <c r="C30" s="285">
        <v>8812</v>
      </c>
      <c r="D30" s="1885"/>
      <c r="E30" s="285">
        <v>8820</v>
      </c>
      <c r="F30" s="274"/>
      <c r="G30" s="297">
        <f>'Exhibit G State'!AC102+'Exhibit G State'!AC103</f>
        <v>9049.4000000000015</v>
      </c>
      <c r="H30" s="274"/>
      <c r="I30" s="274">
        <f t="shared" si="4"/>
        <v>237.40000000000146</v>
      </c>
      <c r="J30" s="274"/>
      <c r="K30" s="274">
        <f t="shared" si="5"/>
        <v>229.40000000000146</v>
      </c>
      <c r="L30" s="274"/>
      <c r="M30" s="1017"/>
      <c r="O30" s="285">
        <v>2587</v>
      </c>
      <c r="P30" s="1885"/>
      <c r="Q30" s="285">
        <v>2741</v>
      </c>
      <c r="R30" s="274"/>
      <c r="S30" s="297">
        <f>'Exhibit G Federal'!AC72+'Exhibit G Federal'!AC73</f>
        <v>2904</v>
      </c>
      <c r="T30" s="274"/>
      <c r="U30" s="274">
        <f t="shared" si="6"/>
        <v>317</v>
      </c>
      <c r="V30" s="274"/>
      <c r="W30" s="274">
        <f t="shared" si="7"/>
        <v>163</v>
      </c>
      <c r="X30" s="274"/>
      <c r="Y30" s="1608"/>
      <c r="Z30" s="274"/>
      <c r="AA30" s="1712"/>
      <c r="AB30" s="1712"/>
      <c r="AC30" s="1712"/>
      <c r="AD30" s="274"/>
      <c r="AE30" s="297"/>
      <c r="AF30" s="1889"/>
      <c r="AG30" s="1712"/>
      <c r="AH30" s="1889"/>
      <c r="AJ30" s="391"/>
      <c r="AM30" s="391"/>
      <c r="AN30" s="391"/>
      <c r="AP30" s="391"/>
      <c r="AR30" s="391"/>
      <c r="AS30" s="301"/>
      <c r="AT30" s="301"/>
      <c r="AU30" s="301"/>
      <c r="AV30" s="301"/>
      <c r="AW30" s="301"/>
      <c r="AX30" s="301"/>
    </row>
    <row r="31" spans="1:50">
      <c r="A31" s="360" t="s">
        <v>216</v>
      </c>
      <c r="B31" s="389" t="s">
        <v>103</v>
      </c>
      <c r="C31" s="285">
        <v>1138</v>
      </c>
      <c r="D31" s="1885"/>
      <c r="E31" s="285">
        <v>1125</v>
      </c>
      <c r="F31" s="274"/>
      <c r="G31" s="297">
        <f>'Exhibit G State'!AC104</f>
        <v>1077.3</v>
      </c>
      <c r="H31" s="274"/>
      <c r="I31" s="274">
        <f t="shared" si="4"/>
        <v>-60.700000000000045</v>
      </c>
      <c r="J31" s="274"/>
      <c r="K31" s="274">
        <f t="shared" si="5"/>
        <v>-47.700000000000045</v>
      </c>
      <c r="L31" s="274"/>
      <c r="M31" s="1017"/>
      <c r="O31" s="285">
        <v>352</v>
      </c>
      <c r="P31" s="1885"/>
      <c r="Q31" s="285">
        <v>375</v>
      </c>
      <c r="R31" s="274"/>
      <c r="S31" s="297">
        <f>'Exhibit G Federal'!AC74</f>
        <v>384</v>
      </c>
      <c r="T31" s="274"/>
      <c r="U31" s="274">
        <f t="shared" si="6"/>
        <v>32</v>
      </c>
      <c r="V31" s="274"/>
      <c r="W31" s="274">
        <f t="shared" si="7"/>
        <v>9</v>
      </c>
      <c r="X31" s="274"/>
      <c r="Y31" s="1608"/>
      <c r="Z31" s="274"/>
      <c r="AA31" s="1712"/>
      <c r="AB31" s="1712"/>
      <c r="AC31" s="1712"/>
      <c r="AD31" s="274"/>
      <c r="AE31" s="285"/>
      <c r="AF31" s="1891"/>
      <c r="AG31" s="1712"/>
      <c r="AH31" s="1891"/>
      <c r="AJ31" s="391"/>
      <c r="AK31" s="399"/>
      <c r="AM31" s="391"/>
      <c r="AN31" s="391"/>
      <c r="AP31" s="391"/>
      <c r="AR31" s="391"/>
      <c r="AS31" s="301"/>
      <c r="AT31" s="301"/>
      <c r="AU31" s="301"/>
      <c r="AV31" s="301"/>
      <c r="AW31" s="301"/>
      <c r="AX31" s="301"/>
    </row>
    <row r="32" spans="1:50">
      <c r="A32" s="360" t="s">
        <v>252</v>
      </c>
      <c r="B32" s="389"/>
      <c r="C32" s="285">
        <v>0</v>
      </c>
      <c r="D32" s="389"/>
      <c r="E32" s="285">
        <v>0</v>
      </c>
      <c r="F32" s="274"/>
      <c r="G32" s="297">
        <v>0</v>
      </c>
      <c r="H32" s="274"/>
      <c r="I32" s="274">
        <f t="shared" si="4"/>
        <v>0</v>
      </c>
      <c r="J32" s="274"/>
      <c r="K32" s="274">
        <f t="shared" si="5"/>
        <v>0</v>
      </c>
      <c r="L32" s="274"/>
      <c r="M32" s="1017"/>
      <c r="O32" s="285">
        <v>0</v>
      </c>
      <c r="P32" s="389"/>
      <c r="Q32" s="285">
        <v>0</v>
      </c>
      <c r="R32" s="274"/>
      <c r="S32" s="297">
        <f>'Exhibit G Federal'!AC76</f>
        <v>0</v>
      </c>
      <c r="T32" s="274"/>
      <c r="U32" s="274">
        <f t="shared" si="6"/>
        <v>0</v>
      </c>
      <c r="V32" s="274"/>
      <c r="W32" s="274">
        <f t="shared" si="7"/>
        <v>0</v>
      </c>
      <c r="X32" s="274"/>
      <c r="Y32" s="1608"/>
      <c r="Z32" s="274"/>
      <c r="AA32" s="1712"/>
      <c r="AB32" s="1712"/>
      <c r="AC32" s="1712"/>
      <c r="AD32" s="274"/>
      <c r="AE32" s="285"/>
      <c r="AF32" s="1891"/>
      <c r="AG32" s="1712"/>
      <c r="AH32" s="1891"/>
      <c r="AJ32" s="391"/>
      <c r="AK32" s="399"/>
      <c r="AM32" s="391"/>
      <c r="AN32" s="391"/>
      <c r="AP32" s="391"/>
      <c r="AR32" s="391"/>
      <c r="AS32" s="301"/>
      <c r="AT32" s="301"/>
      <c r="AU32" s="301"/>
      <c r="AV32" s="301"/>
      <c r="AW32" s="301"/>
      <c r="AX32" s="301"/>
    </row>
    <row r="33" spans="1:50">
      <c r="A33" s="360" t="s">
        <v>140</v>
      </c>
      <c r="B33" s="399" t="s">
        <v>103</v>
      </c>
      <c r="C33" s="285">
        <v>0</v>
      </c>
      <c r="D33" s="389"/>
      <c r="E33" s="285">
        <v>0</v>
      </c>
      <c r="F33" s="274"/>
      <c r="G33" s="285">
        <f>'Exhibit G State'!AC105</f>
        <v>0</v>
      </c>
      <c r="H33" s="274"/>
      <c r="I33" s="274">
        <f t="shared" si="4"/>
        <v>0</v>
      </c>
      <c r="J33" s="274"/>
      <c r="K33" s="274">
        <f t="shared" si="5"/>
        <v>0</v>
      </c>
      <c r="L33" s="274"/>
      <c r="M33" s="1017"/>
      <c r="N33" s="399"/>
      <c r="O33" s="285">
        <v>0</v>
      </c>
      <c r="P33" s="389"/>
      <c r="Q33" s="285">
        <v>0</v>
      </c>
      <c r="R33" s="274"/>
      <c r="S33" s="297">
        <f>'Exhibit G Federal'!AC77</f>
        <v>0</v>
      </c>
      <c r="T33" s="274"/>
      <c r="U33" s="274">
        <f t="shared" si="6"/>
        <v>0</v>
      </c>
      <c r="V33" s="274"/>
      <c r="W33" s="274">
        <f t="shared" si="7"/>
        <v>0</v>
      </c>
      <c r="X33" s="274"/>
      <c r="Y33" s="1608"/>
      <c r="Z33" s="274"/>
      <c r="AA33" s="1712"/>
      <c r="AB33" s="1712"/>
      <c r="AC33" s="1712"/>
      <c r="AD33" s="274"/>
      <c r="AE33" s="285"/>
      <c r="AF33" s="1891"/>
      <c r="AG33" s="1712"/>
      <c r="AH33" s="1891"/>
      <c r="AJ33" s="391"/>
      <c r="AK33" s="399"/>
      <c r="AS33" s="301"/>
      <c r="AT33" s="301"/>
      <c r="AU33" s="301"/>
      <c r="AV33" s="301"/>
      <c r="AW33" s="301"/>
      <c r="AX33" s="301"/>
    </row>
    <row r="34" spans="1:50">
      <c r="A34" s="360" t="s">
        <v>255</v>
      </c>
      <c r="B34" s="399" t="s">
        <v>103</v>
      </c>
      <c r="C34" s="285">
        <v>194</v>
      </c>
      <c r="D34" s="389"/>
      <c r="E34" s="285">
        <v>182</v>
      </c>
      <c r="F34" s="274"/>
      <c r="G34" s="298">
        <f>-'Exhibit G State'!AC114</f>
        <v>220.8</v>
      </c>
      <c r="H34" s="274"/>
      <c r="I34" s="274">
        <f t="shared" si="4"/>
        <v>26.800000000000011</v>
      </c>
      <c r="J34" s="274"/>
      <c r="K34" s="274">
        <f t="shared" si="5"/>
        <v>38.800000000000011</v>
      </c>
      <c r="L34" s="274"/>
      <c r="M34" s="1017"/>
      <c r="N34" s="399"/>
      <c r="O34" s="285">
        <v>2096</v>
      </c>
      <c r="P34" s="389"/>
      <c r="Q34" s="285">
        <v>2085</v>
      </c>
      <c r="R34" s="274"/>
      <c r="S34" s="298">
        <f>-'Exhibit G Federal'!AC86</f>
        <v>3415.7</v>
      </c>
      <c r="T34" s="274"/>
      <c r="U34" s="274">
        <f t="shared" si="6"/>
        <v>1319.6999999999998</v>
      </c>
      <c r="V34" s="274"/>
      <c r="W34" s="274">
        <f t="shared" si="7"/>
        <v>1330.6999999999998</v>
      </c>
      <c r="X34" s="274"/>
      <c r="Y34" s="1608"/>
      <c r="Z34" s="274"/>
      <c r="AA34" s="1712"/>
      <c r="AB34" s="1712"/>
      <c r="AC34" s="1712"/>
      <c r="AD34" s="274"/>
      <c r="AE34" s="285"/>
      <c r="AF34" s="1891"/>
      <c r="AG34" s="1712"/>
      <c r="AH34" s="1891"/>
      <c r="AJ34" s="391"/>
      <c r="AK34" s="399"/>
      <c r="AS34" s="301"/>
      <c r="AT34" s="301"/>
      <c r="AU34" s="301"/>
      <c r="AV34" s="301"/>
      <c r="AW34" s="301"/>
      <c r="AX34" s="301"/>
    </row>
    <row r="35" spans="1:50" ht="18" customHeight="1">
      <c r="A35" s="1248" t="s">
        <v>277</v>
      </c>
      <c r="B35" s="36" t="s">
        <v>103</v>
      </c>
      <c r="C35" s="630">
        <f>ROUND(SUM(C29:C34),1)</f>
        <v>28702</v>
      </c>
      <c r="D35" s="13"/>
      <c r="E35" s="630">
        <f>ROUND(SUM(E29:E34),1)</f>
        <v>28924</v>
      </c>
      <c r="F35" s="13"/>
      <c r="G35" s="630">
        <f>ROUND(SUM(G29:G34),1)</f>
        <v>29478.7</v>
      </c>
      <c r="H35" s="13"/>
      <c r="I35" s="630">
        <f>ROUND(SUM(I29:I34),1)</f>
        <v>776.7</v>
      </c>
      <c r="J35" s="13"/>
      <c r="K35" s="630">
        <f>ROUND(SUM(K29:K34),1)</f>
        <v>554.70000000000005</v>
      </c>
      <c r="L35" s="13"/>
      <c r="M35" s="1578"/>
      <c r="N35" s="36"/>
      <c r="O35" s="630">
        <f>ROUND(SUM(O29:O34),1)</f>
        <v>81442</v>
      </c>
      <c r="P35" s="13"/>
      <c r="Q35" s="630">
        <f>ROUND(SUM(Q29:Q34),1)</f>
        <v>86204</v>
      </c>
      <c r="R35" s="13"/>
      <c r="S35" s="630">
        <f>ROUND(SUM(S29:S34),1)</f>
        <v>86257.4</v>
      </c>
      <c r="T35" s="13"/>
      <c r="U35" s="630">
        <f>ROUND(SUM(U29:U34),1)</f>
        <v>4815.3999999999996</v>
      </c>
      <c r="V35" s="13"/>
      <c r="W35" s="630">
        <f>ROUND(SUM(W29:W34),1)</f>
        <v>53.4</v>
      </c>
      <c r="X35" s="13"/>
      <c r="Y35" s="13"/>
      <c r="Z35" s="13"/>
      <c r="AA35" s="1712"/>
      <c r="AB35" s="1712"/>
      <c r="AC35" s="1712"/>
      <c r="AD35" s="13"/>
      <c r="AE35" s="13"/>
      <c r="AF35" s="1810"/>
      <c r="AG35" s="1810"/>
      <c r="AH35" s="1810"/>
      <c r="AI35" s="36"/>
      <c r="AJ35" s="36"/>
      <c r="AK35" s="36"/>
      <c r="AL35" s="36"/>
      <c r="AM35" s="36"/>
      <c r="AN35" s="36"/>
      <c r="AO35" s="36"/>
      <c r="AP35" s="36"/>
      <c r="AQ35" s="36"/>
      <c r="AR35" s="36"/>
      <c r="AS35" s="301"/>
      <c r="AT35" s="301"/>
      <c r="AU35" s="301"/>
      <c r="AV35" s="301"/>
      <c r="AW35" s="301"/>
      <c r="AX35" s="301"/>
    </row>
    <row r="36" spans="1:50">
      <c r="C36" s="629"/>
      <c r="D36" s="274"/>
      <c r="E36" s="629"/>
      <c r="F36" s="274"/>
      <c r="G36" s="629"/>
      <c r="H36" s="274"/>
      <c r="I36" s="274"/>
      <c r="J36" s="274"/>
      <c r="K36" s="274"/>
      <c r="L36" s="274"/>
      <c r="M36" s="1017"/>
      <c r="O36" s="629"/>
      <c r="P36" s="274"/>
      <c r="Q36" s="629"/>
      <c r="R36" s="274"/>
      <c r="S36" s="629"/>
      <c r="T36" s="274"/>
      <c r="U36" s="274"/>
      <c r="V36" s="274"/>
      <c r="W36" s="274"/>
      <c r="X36" s="274"/>
      <c r="Y36" s="274"/>
      <c r="Z36" s="274"/>
      <c r="AA36" s="1889"/>
      <c r="AB36" s="1712"/>
      <c r="AC36" s="1712"/>
      <c r="AD36" s="274"/>
      <c r="AE36" s="274"/>
      <c r="AF36" s="1712"/>
      <c r="AG36" s="1712"/>
      <c r="AH36" s="1712"/>
      <c r="AS36" s="301"/>
      <c r="AT36" s="301"/>
      <c r="AU36" s="301"/>
      <c r="AV36" s="301"/>
      <c r="AW36" s="301"/>
      <c r="AX36" s="301"/>
    </row>
    <row r="37" spans="1:50">
      <c r="A37" s="3" t="s">
        <v>278</v>
      </c>
      <c r="C37" s="274"/>
      <c r="D37" s="274"/>
      <c r="E37" s="274"/>
      <c r="F37" s="274"/>
      <c r="G37" s="274"/>
      <c r="H37" s="274"/>
      <c r="I37" s="274"/>
      <c r="J37" s="274"/>
      <c r="K37" s="274"/>
      <c r="L37" s="274"/>
      <c r="M37" s="1017"/>
      <c r="O37" s="274"/>
      <c r="P37" s="274"/>
      <c r="Q37" s="274"/>
      <c r="R37" s="274"/>
      <c r="S37" s="274"/>
      <c r="T37" s="274"/>
      <c r="U37" s="274"/>
      <c r="V37" s="274"/>
      <c r="W37" s="274"/>
      <c r="X37" s="274"/>
      <c r="Y37" s="274"/>
      <c r="Z37" s="274"/>
      <c r="AA37" s="1810"/>
      <c r="AB37" s="1810"/>
      <c r="AC37" s="1810"/>
      <c r="AD37" s="274"/>
      <c r="AE37" s="274"/>
      <c r="AF37" s="1712"/>
      <c r="AG37" s="1712"/>
      <c r="AH37" s="1712"/>
      <c r="AS37" s="301"/>
      <c r="AT37" s="301"/>
      <c r="AU37" s="301"/>
      <c r="AV37" s="301"/>
      <c r="AW37" s="301"/>
      <c r="AX37" s="301"/>
    </row>
    <row r="38" spans="1:50">
      <c r="A38" s="3" t="s">
        <v>279</v>
      </c>
      <c r="C38" s="274"/>
      <c r="D38" s="274"/>
      <c r="E38" s="274"/>
      <c r="F38" s="274"/>
      <c r="G38" s="274"/>
      <c r="H38" s="274"/>
      <c r="I38" s="274"/>
      <c r="J38" s="274"/>
      <c r="K38" s="274"/>
      <c r="L38" s="274"/>
      <c r="M38" s="1017"/>
      <c r="O38" s="274"/>
      <c r="P38" s="274"/>
      <c r="Q38" s="274"/>
      <c r="R38" s="274"/>
      <c r="S38" s="274"/>
      <c r="T38" s="274"/>
      <c r="U38" s="274"/>
      <c r="V38" s="274"/>
      <c r="W38" s="274"/>
      <c r="X38" s="274"/>
      <c r="Y38" s="274"/>
      <c r="Z38" s="274"/>
      <c r="AA38" s="1712"/>
      <c r="AB38" s="1712"/>
      <c r="AC38" s="1712"/>
      <c r="AD38" s="274"/>
      <c r="AE38" s="274"/>
      <c r="AF38" s="1712"/>
      <c r="AG38" s="1712"/>
      <c r="AH38" s="1712"/>
      <c r="AS38" s="301"/>
      <c r="AT38" s="301"/>
      <c r="AU38" s="301"/>
      <c r="AV38" s="301"/>
      <c r="AW38" s="301"/>
      <c r="AX38" s="301"/>
    </row>
    <row r="39" spans="1:50">
      <c r="A39" s="1248" t="s">
        <v>259</v>
      </c>
      <c r="B39" s="1247" t="s">
        <v>103</v>
      </c>
      <c r="C39" s="13">
        <f>ROUND(SUM(C26)-SUM(C35),1)</f>
        <v>-930</v>
      </c>
      <c r="D39" s="18"/>
      <c r="E39" s="13">
        <f>ROUND(SUM(E26)-SUM(E35),1)</f>
        <v>-129</v>
      </c>
      <c r="F39" s="18"/>
      <c r="G39" s="13">
        <f>ROUND(SUM(G26)-SUM(G35),1)</f>
        <v>732.9</v>
      </c>
      <c r="H39" s="18"/>
      <c r="I39" s="13">
        <f>ROUND(SUM(I26)-SUM(I35),1)</f>
        <v>1662.9</v>
      </c>
      <c r="J39" s="18"/>
      <c r="K39" s="13">
        <f>ROUND(SUM(K26)-SUM(K35),1)</f>
        <v>861.9</v>
      </c>
      <c r="L39" s="13"/>
      <c r="M39" s="1578"/>
      <c r="N39" s="36"/>
      <c r="O39" s="13">
        <f>ROUND(SUM(O26)-SUM(O35),1)</f>
        <v>2395</v>
      </c>
      <c r="P39" s="18"/>
      <c r="Q39" s="13">
        <f>ROUND(SUM(Q26)-SUM(Q35),1)</f>
        <v>-1089</v>
      </c>
      <c r="R39" s="18"/>
      <c r="S39" s="13">
        <f>ROUND(SUM(S26)-SUM(S35),1)</f>
        <v>-1363</v>
      </c>
      <c r="T39" s="18"/>
      <c r="U39" s="13">
        <f>ROUND(SUM(U26)-SUM(U35),1)</f>
        <v>-3758</v>
      </c>
      <c r="V39" s="18"/>
      <c r="W39" s="13">
        <f>ROUND(SUM(W26)-SUM(W35),1)</f>
        <v>-274</v>
      </c>
      <c r="X39" s="18"/>
      <c r="Y39" s="13"/>
      <c r="Z39" s="18"/>
      <c r="AA39" s="1712"/>
      <c r="AB39" s="1712"/>
      <c r="AC39" s="1712"/>
      <c r="AD39" s="18"/>
      <c r="AE39" s="13"/>
      <c r="AF39" s="1810"/>
      <c r="AG39" s="1892"/>
      <c r="AH39" s="1810"/>
      <c r="AI39" s="42"/>
      <c r="AJ39" s="36"/>
      <c r="AK39" s="36"/>
      <c r="AL39" s="42"/>
      <c r="AM39" s="36"/>
      <c r="AN39" s="36"/>
      <c r="AO39" s="42"/>
      <c r="AP39" s="36"/>
      <c r="AQ39" s="42"/>
      <c r="AR39" s="36"/>
      <c r="AS39" s="301"/>
      <c r="AT39" s="301"/>
      <c r="AU39" s="301"/>
      <c r="AV39" s="301"/>
      <c r="AW39" s="301"/>
      <c r="AX39" s="301"/>
    </row>
    <row r="40" spans="1:50" ht="15" customHeight="1">
      <c r="C40" s="274"/>
      <c r="D40" s="274"/>
      <c r="E40" s="274"/>
      <c r="F40" s="274"/>
      <c r="G40" s="274"/>
      <c r="H40" s="274"/>
      <c r="I40" s="13"/>
      <c r="J40" s="274"/>
      <c r="K40" s="274"/>
      <c r="L40" s="274"/>
      <c r="M40" s="1578"/>
      <c r="N40" s="36"/>
      <c r="O40" s="274"/>
      <c r="P40" s="274"/>
      <c r="Q40" s="274"/>
      <c r="R40" s="274"/>
      <c r="S40" s="274"/>
      <c r="T40" s="274"/>
      <c r="U40" s="13"/>
      <c r="V40" s="274"/>
      <c r="W40" s="274"/>
      <c r="X40" s="274"/>
      <c r="Y40" s="274"/>
      <c r="Z40" s="274"/>
      <c r="AA40" s="1712"/>
      <c r="AB40" s="1712"/>
      <c r="AC40" s="1712"/>
      <c r="AD40" s="274"/>
      <c r="AE40" s="274"/>
      <c r="AF40" s="1712"/>
      <c r="AG40" s="1712"/>
      <c r="AH40" s="1712"/>
      <c r="AS40" s="301"/>
      <c r="AT40" s="301"/>
      <c r="AU40" s="301"/>
      <c r="AV40" s="301"/>
      <c r="AW40" s="301"/>
      <c r="AX40" s="301"/>
    </row>
    <row r="41" spans="1:50">
      <c r="A41" s="1248" t="str">
        <f>+'Exh D Governmental  '!A49</f>
        <v>Fund Balances (Deficits) at April 1</v>
      </c>
      <c r="B41" s="266" t="s">
        <v>103</v>
      </c>
      <c r="C41" s="13">
        <v>9642</v>
      </c>
      <c r="D41" s="274"/>
      <c r="E41" s="13">
        <v>9642</v>
      </c>
      <c r="F41" s="274"/>
      <c r="G41" s="13">
        <v>9641.7999999999993</v>
      </c>
      <c r="H41" s="274"/>
      <c r="I41" s="13">
        <f>G41-C41</f>
        <v>-0.2000000000007276</v>
      </c>
      <c r="J41" s="274"/>
      <c r="K41" s="13">
        <f t="shared" ref="K41" si="8">G41-E41</f>
        <v>-0.2000000000007276</v>
      </c>
      <c r="L41" s="13"/>
      <c r="M41" s="1893"/>
      <c r="N41" s="36"/>
      <c r="O41" s="13">
        <v>11152</v>
      </c>
      <c r="P41" s="274"/>
      <c r="Q41" s="13">
        <v>11152</v>
      </c>
      <c r="R41" s="274"/>
      <c r="S41" s="13">
        <v>11153</v>
      </c>
      <c r="T41" s="274"/>
      <c r="U41" s="13">
        <f>S41-O41</f>
        <v>1</v>
      </c>
      <c r="V41" s="274"/>
      <c r="W41" s="13">
        <f t="shared" ref="W41" si="9">S41-Q41</f>
        <v>1</v>
      </c>
      <c r="X41" s="274"/>
      <c r="Y41" s="13"/>
      <c r="Z41" s="274"/>
      <c r="AA41" s="1810"/>
      <c r="AB41" s="1892"/>
      <c r="AC41" s="1810"/>
      <c r="AD41" s="274"/>
      <c r="AE41" s="274"/>
      <c r="AF41" s="1712"/>
      <c r="AG41" s="1712"/>
      <c r="AH41" s="1712"/>
      <c r="AS41" s="301"/>
      <c r="AT41" s="301"/>
      <c r="AU41" s="301"/>
      <c r="AV41" s="301"/>
      <c r="AW41" s="301"/>
      <c r="AX41" s="301"/>
    </row>
    <row r="42" spans="1:50" ht="18" customHeight="1" thickBot="1">
      <c r="A42" s="1248" t="str">
        <f>+'Exh D Governmental  '!A50</f>
        <v>Fund Balances (Deficits) at February 28, 2025</v>
      </c>
      <c r="B42" s="43" t="s">
        <v>103</v>
      </c>
      <c r="C42" s="688">
        <f>ROUND(SUM(C39:C41),1)</f>
        <v>8712</v>
      </c>
      <c r="D42" s="44"/>
      <c r="E42" s="688">
        <f>ROUND(SUM(E39:E41),1)</f>
        <v>9513</v>
      </c>
      <c r="F42" s="44"/>
      <c r="G42" s="688">
        <f>ROUND(SUM(G39:G41),1)</f>
        <v>10374.700000000001</v>
      </c>
      <c r="H42" s="44"/>
      <c r="I42" s="688">
        <f>ROUND(SUM(I39:I41),1)</f>
        <v>1662.7</v>
      </c>
      <c r="J42" s="44"/>
      <c r="K42" s="688">
        <f>ROUND(SUM(K39:K41),1)</f>
        <v>861.7</v>
      </c>
      <c r="L42" s="20"/>
      <c r="M42" s="350"/>
      <c r="N42" s="36"/>
      <c r="O42" s="688">
        <f>ROUND(SUM(O39:O41),1)</f>
        <v>13547</v>
      </c>
      <c r="P42" s="44"/>
      <c r="Q42" s="688">
        <f>ROUND(SUM(Q39:Q41),1)</f>
        <v>10063</v>
      </c>
      <c r="R42" s="44"/>
      <c r="S42" s="688">
        <f>ROUND(SUM(S39:S41),1)</f>
        <v>9790</v>
      </c>
      <c r="T42" s="44"/>
      <c r="U42" s="688">
        <f>ROUND(SUM(U39:U41),1)</f>
        <v>-3757</v>
      </c>
      <c r="V42" s="44"/>
      <c r="W42" s="688">
        <f>ROUND(SUM(W39:W41),1)</f>
        <v>-273</v>
      </c>
      <c r="X42" s="44"/>
      <c r="Y42" s="20"/>
      <c r="Z42" s="44"/>
      <c r="AA42" s="1712"/>
      <c r="AB42" s="1712"/>
      <c r="AC42" s="1712"/>
      <c r="AF42" s="1712"/>
      <c r="AG42" s="1712"/>
      <c r="AH42" s="1712"/>
      <c r="AS42" s="301"/>
      <c r="AT42" s="301"/>
      <c r="AU42" s="301"/>
      <c r="AV42" s="301"/>
      <c r="AW42" s="301"/>
      <c r="AX42" s="301"/>
    </row>
    <row r="43" spans="1:50" ht="15" customHeight="1" thickTop="1">
      <c r="A43" s="39"/>
      <c r="W43" s="266"/>
      <c r="X43" s="284"/>
      <c r="Y43" s="300"/>
      <c r="Z43" s="284"/>
      <c r="AA43" s="13"/>
      <c r="AB43" s="274"/>
      <c r="AC43" s="16"/>
      <c r="AS43" s="301"/>
      <c r="AT43" s="301"/>
      <c r="AU43" s="301"/>
      <c r="AV43" s="301"/>
      <c r="AW43" s="301"/>
      <c r="AX43" s="301"/>
    </row>
    <row r="44" spans="1:50">
      <c r="A44" s="396" t="str">
        <f>'Exh D Governmental  '!A52</f>
        <v xml:space="preserve">(*)    Source: 2024-25 Enacted Budget dated May 24, 2024.  </v>
      </c>
      <c r="AA44" s="20"/>
      <c r="AB44" s="44"/>
      <c r="AC44" s="20"/>
      <c r="AS44" s="301"/>
      <c r="AT44" s="301"/>
      <c r="AU44" s="301"/>
      <c r="AV44" s="301"/>
      <c r="AW44" s="301"/>
      <c r="AX44" s="301"/>
    </row>
    <row r="45" spans="1:50">
      <c r="A45" s="396" t="str">
        <f>'Exh D Governmental  '!A53</f>
        <v>(**)   Source: 2025-26 Executive Budget with 30-day amendments dated February 20, 2025, which made no changes to the Executive Budget Financial Plan.</v>
      </c>
      <c r="B45" s="301"/>
      <c r="C45" s="284"/>
      <c r="D45" s="301"/>
      <c r="E45" s="301"/>
      <c r="F45" s="301"/>
      <c r="G45" s="301"/>
      <c r="H45" s="301"/>
      <c r="I45" s="301"/>
      <c r="J45" s="301"/>
      <c r="K45" s="301"/>
      <c r="L45" s="301"/>
      <c r="M45" s="301"/>
      <c r="N45" s="301"/>
      <c r="O45" s="301"/>
      <c r="P45" s="301"/>
      <c r="Q45" s="301"/>
      <c r="R45" s="301"/>
      <c r="S45" s="284"/>
      <c r="T45" s="301"/>
      <c r="U45" s="301"/>
      <c r="V45" s="301"/>
      <c r="W45" s="301"/>
      <c r="X45" s="301"/>
      <c r="Y45" s="301"/>
      <c r="Z45" s="301"/>
      <c r="AA45" s="284"/>
      <c r="AB45" s="284"/>
      <c r="AC45" s="284"/>
      <c r="AD45" s="301"/>
      <c r="AE45" s="301"/>
      <c r="AF45" s="301"/>
      <c r="AG45" s="301"/>
      <c r="AH45" s="301"/>
      <c r="AI45" s="301"/>
      <c r="AJ45" s="301"/>
      <c r="AK45" s="301"/>
      <c r="AL45" s="301"/>
      <c r="AM45" s="301"/>
      <c r="AN45" s="301"/>
      <c r="AO45" s="301"/>
      <c r="AP45" s="301"/>
      <c r="AQ45" s="301"/>
      <c r="AR45" s="301"/>
      <c r="AS45" s="301"/>
      <c r="AT45" s="301"/>
      <c r="AU45" s="301"/>
      <c r="AV45" s="301"/>
      <c r="AW45" s="301"/>
      <c r="AX45" s="301"/>
    </row>
    <row r="46" spans="1:50">
      <c r="A46" s="396"/>
      <c r="B46" s="301"/>
      <c r="C46" s="284"/>
      <c r="D46" s="301"/>
      <c r="E46" s="301"/>
      <c r="F46" s="301"/>
      <c r="G46" s="301"/>
      <c r="H46" s="301"/>
      <c r="I46" s="301"/>
      <c r="J46" s="301"/>
      <c r="K46" s="301"/>
      <c r="L46" s="301"/>
      <c r="M46" s="301"/>
      <c r="N46" s="301"/>
      <c r="O46" s="301"/>
      <c r="P46" s="301"/>
      <c r="Q46" s="301"/>
      <c r="R46" s="301"/>
      <c r="S46" s="284"/>
      <c r="T46" s="301"/>
      <c r="U46" s="301"/>
      <c r="V46" s="301"/>
      <c r="W46" s="301"/>
      <c r="X46" s="301"/>
      <c r="Y46" s="301"/>
      <c r="Z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row>
    <row r="47" spans="1:50">
      <c r="A47" s="382"/>
      <c r="AA47" s="301"/>
      <c r="AB47" s="301"/>
      <c r="AC47" s="301"/>
    </row>
    <row r="48" spans="1:50">
      <c r="A48" s="59"/>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row>
    <row r="49" spans="1:50">
      <c r="A49" s="59"/>
      <c r="B49" s="301"/>
      <c r="C49" s="284"/>
      <c r="D49" s="301"/>
      <c r="E49" s="284"/>
      <c r="F49" s="301"/>
      <c r="G49" s="301"/>
      <c r="H49" s="301"/>
      <c r="I49" s="301"/>
      <c r="J49" s="301"/>
      <c r="K49" s="301"/>
      <c r="L49" s="301"/>
      <c r="M49" s="301"/>
      <c r="N49" s="301"/>
      <c r="O49" s="301"/>
      <c r="P49" s="301"/>
      <c r="Q49" s="301"/>
      <c r="R49" s="301"/>
      <c r="S49" s="301"/>
      <c r="T49" s="301"/>
      <c r="U49" s="301"/>
      <c r="V49" s="301"/>
      <c r="W49" s="301"/>
      <c r="X49" s="301"/>
      <c r="Y49" s="301"/>
      <c r="Z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row>
    <row r="50" spans="1:50">
      <c r="C50" s="284"/>
      <c r="E50" s="284"/>
      <c r="AA50" s="301"/>
      <c r="AB50" s="301"/>
      <c r="AC50" s="301"/>
    </row>
    <row r="51" spans="1:50">
      <c r="C51" s="284"/>
      <c r="E51" s="284"/>
      <c r="AA51" s="301"/>
      <c r="AB51" s="301"/>
      <c r="AC51" s="301"/>
    </row>
    <row r="52" spans="1:50">
      <c r="C52" s="284"/>
      <c r="E52" s="284"/>
    </row>
    <row r="53" spans="1:50">
      <c r="C53" s="284"/>
      <c r="E53" s="284"/>
    </row>
    <row r="54" spans="1:50">
      <c r="C54" s="284"/>
      <c r="E54" s="284"/>
    </row>
    <row r="55" spans="1:50">
      <c r="C55" s="284"/>
      <c r="E55" s="284"/>
    </row>
    <row r="56" spans="1:50">
      <c r="C56" s="284"/>
      <c r="E56" s="284"/>
    </row>
    <row r="57" spans="1:50">
      <c r="C57" s="284"/>
      <c r="E57" s="284"/>
    </row>
    <row r="58" spans="1:50">
      <c r="C58" s="284"/>
      <c r="E58" s="284"/>
    </row>
    <row r="59" spans="1:50">
      <c r="C59" s="284"/>
      <c r="E59" s="284"/>
    </row>
    <row r="60" spans="1:50">
      <c r="C60" s="284"/>
      <c r="E60" s="284"/>
    </row>
    <row r="61" spans="1:50">
      <c r="C61" s="284"/>
      <c r="E61" s="284"/>
    </row>
    <row r="62" spans="1:50">
      <c r="C62" s="284"/>
      <c r="E62" s="284"/>
    </row>
    <row r="63" spans="1:50">
      <c r="C63" s="284"/>
      <c r="E63" s="284"/>
    </row>
    <row r="64" spans="1:50">
      <c r="C64" s="284"/>
      <c r="E64" s="284"/>
    </row>
    <row r="65" spans="3:5">
      <c r="C65" s="284"/>
      <c r="E65" s="284"/>
    </row>
    <row r="66" spans="3:5">
      <c r="C66" s="284"/>
      <c r="E66" s="284"/>
    </row>
    <row r="67" spans="3:5">
      <c r="C67" s="284"/>
      <c r="E67" s="284"/>
    </row>
    <row r="68" spans="3:5">
      <c r="C68" s="284"/>
      <c r="E68" s="284"/>
    </row>
    <row r="69" spans="3:5">
      <c r="C69" s="284"/>
      <c r="E69" s="284"/>
    </row>
    <row r="70" spans="3:5">
      <c r="C70" s="284"/>
      <c r="E70" s="284"/>
    </row>
  </sheetData>
  <mergeCells count="3">
    <mergeCell ref="A5:E5"/>
    <mergeCell ref="C11:I11"/>
    <mergeCell ref="O11:U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workbookViewId="0"/>
  </sheetViews>
  <sheetFormatPr defaultColWidth="8.69140625" defaultRowHeight="15.5"/>
  <cols>
    <col min="1" max="1" width="47.07421875" style="301" customWidth="1"/>
    <col min="2" max="2" width="2" style="266" customWidth="1"/>
    <col min="3" max="3" width="15.07421875" style="133" customWidth="1"/>
    <col min="4" max="4" width="1.07421875" style="266" customWidth="1"/>
    <col min="5" max="5" width="15.07421875" style="133" customWidth="1"/>
    <col min="6" max="6" width="1.07421875" style="266" customWidth="1"/>
    <col min="7" max="7" width="15.07421875" style="266" customWidth="1"/>
    <col min="8" max="8" width="1.07421875" style="266" customWidth="1"/>
    <col min="9" max="9" width="15.07421875" style="266" customWidth="1"/>
    <col min="10" max="10" width="1.07421875" style="266" customWidth="1"/>
    <col min="11" max="11" width="15.07421875" style="266" customWidth="1"/>
    <col min="12" max="12" width="11.4609375" style="266" customWidth="1"/>
    <col min="13" max="13" width="1.69140625" style="266" customWidth="1"/>
    <col min="14" max="14" width="11.69140625" style="266" customWidth="1"/>
    <col min="15" max="15" width="2.07421875" style="266" customWidth="1"/>
    <col min="16" max="16" width="11.4609375" style="266" customWidth="1"/>
    <col min="17" max="17" width="0.53515625" style="266" customWidth="1"/>
    <col min="18" max="18" width="2.07421875" style="266" customWidth="1"/>
    <col min="19" max="19" width="10.53515625" style="266" customWidth="1"/>
    <col min="20" max="20" width="11.07421875" style="266" customWidth="1"/>
    <col min="21" max="21" width="2.07421875" style="266" customWidth="1"/>
    <col min="22" max="22" width="11.07421875" style="266" customWidth="1"/>
    <col min="23" max="23" width="2.07421875" style="266" customWidth="1"/>
    <col min="24" max="24" width="12.4609375" style="266" customWidth="1"/>
    <col min="25" max="30" width="8.69140625" style="266"/>
    <col min="31" max="16384" width="8.69140625" style="301"/>
  </cols>
  <sheetData>
    <row r="1" spans="1:24">
      <c r="A1" s="397" t="s">
        <v>97</v>
      </c>
      <c r="B1" s="49"/>
      <c r="C1" s="129"/>
      <c r="D1" s="49"/>
      <c r="E1" s="129"/>
      <c r="F1" s="49"/>
      <c r="G1" s="49"/>
      <c r="H1" s="49"/>
      <c r="I1" s="49"/>
      <c r="J1" s="49"/>
      <c r="K1" s="49"/>
      <c r="L1" s="49"/>
      <c r="M1" s="49"/>
      <c r="N1" s="49"/>
      <c r="O1" s="49"/>
      <c r="P1" s="49"/>
      <c r="Q1" s="49"/>
      <c r="R1" s="49"/>
      <c r="S1" s="49"/>
      <c r="T1" s="49"/>
      <c r="U1" s="49"/>
      <c r="V1" s="49"/>
      <c r="W1" s="49"/>
      <c r="X1" s="49"/>
    </row>
    <row r="2" spans="1:24" ht="17.149999999999999" customHeight="1">
      <c r="A2" s="50"/>
      <c r="B2" s="49"/>
      <c r="C2" s="129"/>
      <c r="D2" s="49"/>
      <c r="E2" s="129"/>
      <c r="F2" s="49"/>
      <c r="G2" s="49"/>
      <c r="H2" s="49"/>
      <c r="I2" s="49"/>
      <c r="J2" s="49"/>
      <c r="K2" s="49"/>
      <c r="L2" s="49"/>
      <c r="M2" s="49"/>
      <c r="N2" s="49"/>
      <c r="O2" s="49"/>
      <c r="P2" s="49"/>
      <c r="Q2" s="49"/>
      <c r="R2" s="49"/>
      <c r="S2" s="49"/>
      <c r="T2" s="49"/>
      <c r="U2" s="49"/>
      <c r="V2" s="49"/>
      <c r="W2" s="49"/>
      <c r="X2" s="49"/>
    </row>
    <row r="3" spans="1:24" ht="18">
      <c r="A3" s="51" t="s">
        <v>98</v>
      </c>
      <c r="B3" s="30"/>
      <c r="C3" s="130"/>
      <c r="D3" s="30"/>
      <c r="E3" s="130"/>
      <c r="F3" s="30"/>
      <c r="G3" s="30"/>
      <c r="H3" s="30"/>
      <c r="I3" s="362"/>
      <c r="J3" s="30"/>
      <c r="K3" s="362" t="s">
        <v>231</v>
      </c>
      <c r="L3" s="30"/>
      <c r="M3" s="30"/>
      <c r="N3" s="30"/>
      <c r="O3" s="30"/>
      <c r="P3" s="30"/>
      <c r="Q3" s="30"/>
      <c r="R3" s="30"/>
      <c r="S3" s="30"/>
      <c r="T3" s="30"/>
      <c r="U3" s="30"/>
      <c r="V3" s="30"/>
      <c r="W3" s="30"/>
      <c r="X3" s="52"/>
    </row>
    <row r="4" spans="1:24" ht="18">
      <c r="A4" s="51" t="s">
        <v>232</v>
      </c>
      <c r="B4" s="30"/>
      <c r="C4" s="130"/>
      <c r="D4" s="30"/>
      <c r="E4" s="130"/>
      <c r="F4" s="30"/>
      <c r="G4" s="30"/>
      <c r="H4" s="30"/>
      <c r="I4" s="363"/>
      <c r="J4" s="30"/>
      <c r="K4" s="363"/>
      <c r="L4" s="30"/>
      <c r="M4" s="30"/>
      <c r="N4" s="30"/>
      <c r="O4" s="30"/>
      <c r="P4" s="30"/>
      <c r="Q4" s="30"/>
      <c r="R4" s="30"/>
      <c r="S4" s="30"/>
      <c r="T4" s="30"/>
      <c r="U4" s="30"/>
      <c r="V4" s="30"/>
      <c r="W4" s="30"/>
      <c r="X4" s="30"/>
    </row>
    <row r="5" spans="1:24" ht="18">
      <c r="A5" s="2121" t="str">
        <f>'Exh D Governmental  '!A5</f>
        <v>FISCAL YEAR 2024-2025</v>
      </c>
      <c r="B5" s="2120"/>
      <c r="C5" s="2120"/>
      <c r="D5" s="2120"/>
      <c r="E5" s="2120"/>
      <c r="F5" s="30"/>
      <c r="G5" s="30"/>
      <c r="H5" s="30"/>
      <c r="I5" s="30"/>
      <c r="J5" s="30"/>
      <c r="K5" s="30"/>
      <c r="L5" s="30"/>
      <c r="M5" s="30"/>
      <c r="N5" s="30"/>
      <c r="O5" s="30"/>
      <c r="P5" s="30"/>
      <c r="Q5" s="30"/>
      <c r="R5" s="30"/>
      <c r="S5" s="30"/>
      <c r="T5" s="30"/>
      <c r="U5" s="30"/>
      <c r="V5" s="30"/>
      <c r="W5" s="30"/>
      <c r="X5" s="30"/>
    </row>
    <row r="6" spans="1:24" ht="18">
      <c r="A6" s="51" t="str">
        <f>'Exh D Governmental  '!A6</f>
        <v>FOR ELEVEN MONTHS ENDED FEBRUARY 28, 2025</v>
      </c>
      <c r="B6" s="30"/>
      <c r="C6" s="130"/>
      <c r="D6" s="30"/>
      <c r="E6" s="130"/>
      <c r="F6" s="30"/>
      <c r="G6" s="30"/>
      <c r="H6" s="30"/>
      <c r="I6" s="30"/>
      <c r="J6" s="30"/>
      <c r="K6" s="30"/>
      <c r="L6" s="30"/>
      <c r="M6" s="30"/>
      <c r="N6" s="30"/>
      <c r="O6" s="30"/>
      <c r="P6" s="30"/>
      <c r="Q6" s="30"/>
      <c r="R6" s="30"/>
      <c r="S6" s="30"/>
      <c r="T6" s="30"/>
      <c r="U6" s="30"/>
      <c r="V6" s="30"/>
      <c r="W6" s="30"/>
      <c r="X6" s="30"/>
    </row>
    <row r="7" spans="1:24" ht="18">
      <c r="A7" s="51" t="s">
        <v>233</v>
      </c>
      <c r="B7" s="30"/>
      <c r="C7" s="130"/>
      <c r="D7" s="30"/>
      <c r="E7" s="130"/>
      <c r="F7" s="30"/>
      <c r="G7" s="30"/>
      <c r="H7" s="30"/>
      <c r="I7" s="30"/>
      <c r="J7" s="30"/>
      <c r="K7" s="30"/>
      <c r="L7" s="30"/>
      <c r="M7" s="30"/>
      <c r="N7" s="30"/>
      <c r="O7" s="30"/>
      <c r="P7" s="30"/>
      <c r="Q7" s="30"/>
      <c r="R7" s="30"/>
      <c r="S7" s="30"/>
      <c r="T7" s="30"/>
      <c r="U7" s="30"/>
      <c r="V7" s="30"/>
      <c r="W7" s="30"/>
      <c r="X7" s="30"/>
    </row>
    <row r="8" spans="1:24" ht="15" customHeight="1">
      <c r="A8" s="34"/>
      <c r="B8" s="30"/>
      <c r="C8" s="130"/>
      <c r="D8" s="30"/>
      <c r="E8" s="130"/>
      <c r="F8" s="30"/>
      <c r="G8" s="30"/>
      <c r="H8" s="30"/>
      <c r="I8" s="30"/>
      <c r="J8" s="30"/>
      <c r="K8" s="30"/>
      <c r="L8" s="30"/>
      <c r="M8" s="30"/>
      <c r="N8" s="30"/>
      <c r="O8" s="30"/>
      <c r="P8" s="30"/>
      <c r="Q8" s="30"/>
      <c r="R8" s="30"/>
      <c r="S8" s="30"/>
      <c r="T8" s="30"/>
      <c r="U8" s="30"/>
      <c r="V8" s="30"/>
      <c r="W8" s="30"/>
      <c r="X8" s="30"/>
    </row>
    <row r="9" spans="1:24">
      <c r="A9" s="35"/>
      <c r="B9" s="30"/>
      <c r="C9" s="130"/>
      <c r="D9" s="30"/>
      <c r="E9" s="130"/>
      <c r="F9" s="30"/>
      <c r="G9" s="30"/>
      <c r="H9" s="30"/>
      <c r="I9" s="30"/>
      <c r="J9" s="30"/>
      <c r="K9" s="30"/>
      <c r="L9" s="30"/>
      <c r="M9" s="30"/>
      <c r="N9" s="30"/>
      <c r="O9" s="30"/>
      <c r="P9" s="30"/>
      <c r="Q9" s="30"/>
      <c r="R9" s="30"/>
      <c r="S9" s="30"/>
      <c r="T9" s="30"/>
      <c r="U9" s="30"/>
      <c r="V9" s="30"/>
      <c r="W9" s="30"/>
      <c r="X9" s="30"/>
    </row>
    <row r="10" spans="1:24">
      <c r="A10" s="35"/>
      <c r="B10" s="30"/>
      <c r="C10" s="130"/>
      <c r="D10" s="30"/>
      <c r="E10" s="130"/>
      <c r="F10" s="30"/>
      <c r="G10" s="30"/>
      <c r="H10" s="30"/>
      <c r="I10" s="30"/>
      <c r="J10" s="30"/>
      <c r="K10" s="30"/>
      <c r="L10" s="30"/>
      <c r="M10" s="30"/>
      <c r="N10" s="30"/>
      <c r="O10" s="30"/>
      <c r="P10" s="30"/>
      <c r="Q10" s="30"/>
      <c r="R10" s="30"/>
      <c r="S10" s="30"/>
      <c r="T10" s="30"/>
      <c r="U10" s="30"/>
      <c r="V10" s="30"/>
      <c r="W10" s="30"/>
      <c r="X10" s="30"/>
    </row>
    <row r="11" spans="1:24">
      <c r="C11" s="2115" t="s">
        <v>286</v>
      </c>
      <c r="D11" s="2115"/>
      <c r="E11" s="2115"/>
      <c r="F11" s="2115"/>
      <c r="G11" s="2115"/>
      <c r="H11" s="2115"/>
      <c r="I11" s="2115"/>
      <c r="J11" s="437"/>
      <c r="K11" s="438"/>
      <c r="L11" s="53"/>
      <c r="M11" s="53"/>
      <c r="N11" s="53"/>
      <c r="O11" s="53"/>
      <c r="P11" s="53"/>
      <c r="Q11" s="53"/>
      <c r="R11" s="36"/>
      <c r="S11" s="53"/>
      <c r="T11" s="54"/>
      <c r="U11" s="53"/>
      <c r="V11" s="53"/>
      <c r="W11" s="53"/>
      <c r="X11" s="53"/>
    </row>
    <row r="12" spans="1:24">
      <c r="D12" s="55"/>
      <c r="F12" s="55"/>
      <c r="G12" s="56"/>
      <c r="H12" s="55"/>
      <c r="I12" s="55" t="s">
        <v>235</v>
      </c>
      <c r="J12" s="55"/>
      <c r="K12" s="55" t="s">
        <v>235</v>
      </c>
      <c r="L12" s="53"/>
      <c r="M12" s="53"/>
      <c r="N12" s="53"/>
      <c r="O12" s="53"/>
      <c r="P12" s="53"/>
      <c r="Q12" s="53"/>
      <c r="R12" s="36"/>
      <c r="S12" s="53"/>
      <c r="T12" s="54"/>
      <c r="U12" s="53"/>
      <c r="V12" s="53"/>
      <c r="W12" s="53"/>
      <c r="X12" s="53"/>
    </row>
    <row r="13" spans="1:24">
      <c r="B13" s="36"/>
      <c r="C13" s="132"/>
      <c r="D13" s="36"/>
      <c r="E13" s="132"/>
      <c r="F13" s="36"/>
      <c r="G13" s="36"/>
      <c r="H13" s="36"/>
      <c r="I13" s="37" t="s">
        <v>236</v>
      </c>
      <c r="J13" s="36"/>
      <c r="K13" s="37" t="s">
        <v>236</v>
      </c>
      <c r="L13" s="36"/>
      <c r="M13" s="36"/>
      <c r="N13" s="36"/>
      <c r="O13" s="36"/>
      <c r="P13" s="38"/>
      <c r="Q13" s="37"/>
      <c r="R13" s="36"/>
      <c r="S13" s="36"/>
      <c r="T13" s="36"/>
      <c r="U13" s="36"/>
      <c r="V13" s="36"/>
      <c r="W13" s="36"/>
      <c r="X13" s="38"/>
    </row>
    <row r="14" spans="1:24">
      <c r="B14" s="57"/>
      <c r="C14" s="38" t="s">
        <v>238</v>
      </c>
      <c r="D14" s="36"/>
      <c r="E14" s="37" t="s">
        <v>239</v>
      </c>
      <c r="F14" s="36"/>
      <c r="G14" s="36"/>
      <c r="H14" s="36"/>
      <c r="I14" s="37" t="s">
        <v>240</v>
      </c>
      <c r="J14" s="36"/>
      <c r="K14" s="37" t="s">
        <v>240</v>
      </c>
      <c r="L14" s="37"/>
      <c r="M14" s="36"/>
      <c r="N14" s="36"/>
      <c r="O14" s="36"/>
      <c r="P14" s="38"/>
      <c r="Q14" s="37"/>
      <c r="R14" s="36"/>
      <c r="S14" s="38"/>
      <c r="T14" s="37"/>
      <c r="U14" s="36"/>
      <c r="V14" s="36"/>
      <c r="W14" s="36"/>
      <c r="X14" s="38"/>
    </row>
    <row r="15" spans="1:24">
      <c r="B15" s="57"/>
      <c r="C15" s="37" t="s">
        <v>241</v>
      </c>
      <c r="D15" s="36"/>
      <c r="E15" s="37" t="s">
        <v>241</v>
      </c>
      <c r="F15" s="36"/>
      <c r="G15" s="36"/>
      <c r="H15" s="36"/>
      <c r="I15" s="37" t="s">
        <v>238</v>
      </c>
      <c r="J15" s="36"/>
      <c r="K15" s="37" t="s">
        <v>239</v>
      </c>
      <c r="L15" s="37"/>
      <c r="M15" s="36"/>
      <c r="N15" s="36"/>
      <c r="O15" s="36"/>
      <c r="P15" s="38"/>
      <c r="Q15" s="37"/>
      <c r="R15" s="36"/>
      <c r="S15" s="38"/>
      <c r="T15" s="37"/>
      <c r="U15" s="36"/>
      <c r="V15" s="36"/>
      <c r="W15" s="36"/>
      <c r="X15" s="38"/>
    </row>
    <row r="16" spans="1:24">
      <c r="B16" s="37"/>
      <c r="C16" s="37" t="s">
        <v>242</v>
      </c>
      <c r="D16" s="36"/>
      <c r="E16" s="37" t="s">
        <v>1522</v>
      </c>
      <c r="F16" s="36"/>
      <c r="G16" s="38" t="s">
        <v>235</v>
      </c>
      <c r="H16" s="36"/>
      <c r="I16" s="37" t="s">
        <v>243</v>
      </c>
      <c r="J16" s="36"/>
      <c r="K16" s="37" t="s">
        <v>243</v>
      </c>
      <c r="L16" s="37"/>
      <c r="M16" s="36"/>
      <c r="N16" s="38"/>
      <c r="O16" s="36"/>
      <c r="P16" s="38"/>
      <c r="Q16" s="37"/>
      <c r="R16" s="36"/>
      <c r="S16" s="37"/>
      <c r="T16" s="37"/>
      <c r="U16" s="36"/>
      <c r="V16" s="38"/>
      <c r="W16" s="36"/>
      <c r="X16" s="38"/>
    </row>
    <row r="17" spans="1:24">
      <c r="A17" s="39"/>
      <c r="B17" s="30"/>
      <c r="C17" s="1032"/>
      <c r="D17" s="30"/>
      <c r="E17" s="1032"/>
      <c r="F17" s="30"/>
      <c r="G17" s="1032"/>
      <c r="H17" s="30"/>
      <c r="I17" s="1032"/>
      <c r="J17" s="30"/>
      <c r="K17" s="1032"/>
      <c r="L17" s="30"/>
      <c r="M17" s="30"/>
      <c r="N17" s="30"/>
      <c r="O17" s="30"/>
      <c r="P17" s="30"/>
      <c r="Q17" s="30"/>
      <c r="R17" s="30"/>
      <c r="S17" s="30"/>
      <c r="T17" s="30"/>
      <c r="U17" s="30"/>
      <c r="V17" s="30"/>
      <c r="W17" s="30"/>
      <c r="X17" s="30"/>
    </row>
    <row r="18" spans="1:24">
      <c r="A18" s="3" t="s">
        <v>114</v>
      </c>
      <c r="C18" s="266"/>
      <c r="E18" s="266"/>
    </row>
    <row r="19" spans="1:24">
      <c r="A19" s="360" t="s">
        <v>244</v>
      </c>
      <c r="B19" s="389"/>
      <c r="C19" s="266"/>
      <c r="D19" s="389"/>
      <c r="E19" s="266"/>
      <c r="F19" s="389"/>
      <c r="H19" s="389"/>
      <c r="J19" s="389"/>
    </row>
    <row r="20" spans="1:24">
      <c r="A20" s="360" t="s">
        <v>245</v>
      </c>
      <c r="B20" s="389" t="s">
        <v>103</v>
      </c>
      <c r="C20" s="287">
        <v>26000</v>
      </c>
      <c r="D20" s="286"/>
      <c r="E20" s="287">
        <v>28022</v>
      </c>
      <c r="F20" s="286"/>
      <c r="G20" s="398">
        <f>'Exhibit H'!AA17</f>
        <v>28035.7</v>
      </c>
      <c r="H20" s="286"/>
      <c r="I20" s="284">
        <f>G20-C20</f>
        <v>2035.7000000000007</v>
      </c>
      <c r="J20" s="286"/>
      <c r="K20" s="284">
        <f>G20-E20</f>
        <v>13.700000000000728</v>
      </c>
      <c r="L20" s="1599"/>
      <c r="M20" s="1599"/>
      <c r="N20" s="1599"/>
    </row>
    <row r="21" spans="1:24">
      <c r="A21" s="360" t="s">
        <v>246</v>
      </c>
      <c r="B21" s="266" t="s">
        <v>103</v>
      </c>
      <c r="C21" s="285">
        <v>8641</v>
      </c>
      <c r="D21" s="1885"/>
      <c r="E21" s="285">
        <v>8681</v>
      </c>
      <c r="F21" s="274"/>
      <c r="G21" s="274">
        <f>'Exhibit H'!AA21</f>
        <v>8688.6</v>
      </c>
      <c r="H21" s="274"/>
      <c r="I21" s="274">
        <f>G21-C21</f>
        <v>47.600000000000364</v>
      </c>
      <c r="J21" s="274"/>
      <c r="K21" s="274">
        <f t="shared" ref="K21:K26" si="0">G21-E21</f>
        <v>7.6000000000003638</v>
      </c>
      <c r="L21" s="1599"/>
      <c r="M21" s="1599"/>
      <c r="N21" s="1599"/>
    </row>
    <row r="22" spans="1:24">
      <c r="A22" s="360" t="s">
        <v>247</v>
      </c>
      <c r="C22" s="285">
        <v>5097</v>
      </c>
      <c r="D22" s="377"/>
      <c r="E22" s="285">
        <v>5646</v>
      </c>
      <c r="F22" s="297"/>
      <c r="G22" s="274">
        <f>'Exhibit H'!AA24</f>
        <v>5760.1</v>
      </c>
      <c r="H22" s="297"/>
      <c r="I22" s="274">
        <f t="shared" ref="I22:I26" si="1">G22-C22</f>
        <v>663.10000000000036</v>
      </c>
      <c r="J22" s="297"/>
      <c r="K22" s="274">
        <f t="shared" si="0"/>
        <v>114.10000000000036</v>
      </c>
      <c r="L22" s="1599"/>
      <c r="M22" s="1599"/>
      <c r="N22" s="1599"/>
    </row>
    <row r="23" spans="1:24">
      <c r="A23" s="360" t="s">
        <v>248</v>
      </c>
      <c r="B23" s="266" t="s">
        <v>103</v>
      </c>
      <c r="C23" s="285">
        <v>849</v>
      </c>
      <c r="D23" s="1885"/>
      <c r="E23" s="285">
        <v>900</v>
      </c>
      <c r="F23" s="1229"/>
      <c r="G23" s="274">
        <f>'Exhibit H'!AA28</f>
        <v>937.4</v>
      </c>
      <c r="H23" s="1229"/>
      <c r="I23" s="274">
        <f t="shared" si="1"/>
        <v>88.399999999999977</v>
      </c>
      <c r="J23" s="1229"/>
      <c r="K23" s="274">
        <f t="shared" si="0"/>
        <v>37.399999999999977</v>
      </c>
      <c r="L23" s="1599"/>
      <c r="M23" s="1599"/>
      <c r="N23" s="1599"/>
    </row>
    <row r="24" spans="1:24" ht="15" customHeight="1">
      <c r="A24" s="360" t="s">
        <v>119</v>
      </c>
      <c r="B24" s="266" t="s">
        <v>103</v>
      </c>
      <c r="C24" s="285">
        <v>347</v>
      </c>
      <c r="D24" s="1886"/>
      <c r="E24" s="285">
        <v>471</v>
      </c>
      <c r="F24" s="274"/>
      <c r="G24" s="274">
        <f>'Exhibit H'!AA51</f>
        <v>521.4</v>
      </c>
      <c r="H24" s="274"/>
      <c r="I24" s="274">
        <f t="shared" si="1"/>
        <v>174.39999999999998</v>
      </c>
      <c r="J24" s="274"/>
      <c r="K24" s="274">
        <f t="shared" si="0"/>
        <v>50.399999999999977</v>
      </c>
      <c r="L24" s="1599"/>
      <c r="M24" s="1599"/>
      <c r="N24" s="1599"/>
    </row>
    <row r="25" spans="1:24" ht="15" customHeight="1">
      <c r="A25" s="360" t="s">
        <v>120</v>
      </c>
      <c r="B25" s="266" t="s">
        <v>103</v>
      </c>
      <c r="C25" s="285">
        <v>116</v>
      </c>
      <c r="D25" s="1885"/>
      <c r="E25" s="285">
        <v>42</v>
      </c>
      <c r="F25" s="274"/>
      <c r="G25" s="274">
        <f>'Exhibit H'!AA53</f>
        <v>43.6</v>
      </c>
      <c r="H25" s="274"/>
      <c r="I25" s="274">
        <f t="shared" si="1"/>
        <v>-72.400000000000006</v>
      </c>
      <c r="J25" s="274"/>
      <c r="K25" s="274">
        <f t="shared" si="0"/>
        <v>1.6000000000000014</v>
      </c>
      <c r="L25" s="1599"/>
      <c r="M25" s="1599"/>
      <c r="N25" s="1600"/>
      <c r="P25" s="391"/>
      <c r="Q25" s="399"/>
    </row>
    <row r="26" spans="1:24">
      <c r="A26" s="360" t="s">
        <v>147</v>
      </c>
      <c r="B26" s="399" t="s">
        <v>103</v>
      </c>
      <c r="C26" s="285">
        <v>1886</v>
      </c>
      <c r="D26" s="1885"/>
      <c r="E26" s="285">
        <v>1731</v>
      </c>
      <c r="F26" s="13"/>
      <c r="G26" s="392">
        <f>'Exhibit H'!AA69</f>
        <v>2757.8</v>
      </c>
      <c r="H26" s="13"/>
      <c r="I26" s="274">
        <f t="shared" si="1"/>
        <v>871.80000000000018</v>
      </c>
      <c r="J26" s="13"/>
      <c r="K26" s="274">
        <f t="shared" si="0"/>
        <v>1026.8000000000002</v>
      </c>
      <c r="L26" s="1599"/>
      <c r="M26" s="1599"/>
      <c r="N26" s="1600"/>
      <c r="P26" s="391"/>
      <c r="Q26" s="399"/>
    </row>
    <row r="27" spans="1:24" ht="18" customHeight="1">
      <c r="A27" s="1248" t="s">
        <v>268</v>
      </c>
      <c r="B27" s="36" t="s">
        <v>103</v>
      </c>
      <c r="C27" s="631">
        <f>ROUND(SUM(C20:C26),1)</f>
        <v>42936</v>
      </c>
      <c r="D27" s="274"/>
      <c r="E27" s="631">
        <f>ROUND(SUM(E20:E26),1)</f>
        <v>45493</v>
      </c>
      <c r="F27" s="274"/>
      <c r="G27" s="631">
        <f>ROUND(SUM(G20:G26),1)</f>
        <v>46744.6</v>
      </c>
      <c r="H27" s="274"/>
      <c r="I27" s="631">
        <f>ROUND(SUM(I20:I26),1)</f>
        <v>3808.6</v>
      </c>
      <c r="J27" s="274"/>
      <c r="K27" s="631">
        <f>ROUND(SUM(K20:K26),1)</f>
        <v>1251.5999999999999</v>
      </c>
      <c r="L27" s="1599"/>
      <c r="M27" s="1601"/>
      <c r="N27" s="1601"/>
      <c r="O27" s="36"/>
      <c r="P27" s="36"/>
      <c r="Q27" s="36"/>
      <c r="R27" s="36"/>
      <c r="S27" s="36"/>
      <c r="T27" s="36"/>
      <c r="U27" s="36"/>
      <c r="V27" s="36"/>
      <c r="W27" s="36"/>
      <c r="X27" s="36"/>
    </row>
    <row r="28" spans="1:24">
      <c r="C28" s="629"/>
      <c r="D28" s="274"/>
      <c r="E28" s="629"/>
      <c r="F28" s="274"/>
      <c r="G28" s="629"/>
      <c r="H28" s="274"/>
      <c r="I28" s="629"/>
      <c r="J28" s="274"/>
      <c r="K28" s="629"/>
      <c r="L28" s="1599"/>
      <c r="M28" s="1599"/>
      <c r="N28" s="1599"/>
    </row>
    <row r="29" spans="1:24">
      <c r="A29" s="3" t="s">
        <v>122</v>
      </c>
      <c r="C29" s="274"/>
      <c r="D29" s="274"/>
      <c r="E29" s="274"/>
      <c r="F29" s="274"/>
      <c r="G29" s="274"/>
      <c r="H29" s="274"/>
      <c r="I29" s="274"/>
      <c r="J29" s="274"/>
      <c r="K29" s="274"/>
      <c r="L29" s="1599"/>
      <c r="M29" s="1599"/>
      <c r="N29" s="1599"/>
    </row>
    <row r="30" spans="1:24">
      <c r="A30" s="360" t="s">
        <v>251</v>
      </c>
      <c r="B30" s="389" t="s">
        <v>103</v>
      </c>
      <c r="C30" s="285">
        <v>8</v>
      </c>
      <c r="D30" s="1885"/>
      <c r="E30" s="285">
        <v>29</v>
      </c>
      <c r="F30" s="274"/>
      <c r="G30" s="297">
        <f>'Exhibit H'!AA59</f>
        <v>33.1</v>
      </c>
      <c r="H30" s="274"/>
      <c r="I30" s="274">
        <f t="shared" ref="I30:I32" si="2">G30-C30</f>
        <v>25.1</v>
      </c>
      <c r="J30" s="274"/>
      <c r="K30" s="274">
        <f t="shared" ref="K30:K32" si="3">G30-E30</f>
        <v>4.1000000000000014</v>
      </c>
      <c r="L30" s="1599"/>
      <c r="M30" s="1599"/>
      <c r="N30" s="1602"/>
      <c r="P30" s="391"/>
      <c r="S30" s="391"/>
      <c r="T30" s="391"/>
      <c r="V30" s="391"/>
      <c r="X30" s="391"/>
    </row>
    <row r="31" spans="1:24" ht="14.25" customHeight="1">
      <c r="A31" s="360" t="s">
        <v>252</v>
      </c>
      <c r="B31" s="399" t="s">
        <v>103</v>
      </c>
      <c r="C31" s="285">
        <v>767</v>
      </c>
      <c r="D31" s="389"/>
      <c r="E31" s="285">
        <v>588</v>
      </c>
      <c r="F31" s="274"/>
      <c r="G31" s="285">
        <f>'Exhibit H'!AA61</f>
        <v>481.8</v>
      </c>
      <c r="H31" s="274"/>
      <c r="I31" s="274">
        <f t="shared" si="2"/>
        <v>-285.2</v>
      </c>
      <c r="J31" s="274"/>
      <c r="K31" s="274">
        <f t="shared" si="3"/>
        <v>-106.19999999999999</v>
      </c>
      <c r="L31" s="1599"/>
      <c r="M31" s="1599"/>
      <c r="N31" s="1602"/>
      <c r="S31" s="391"/>
      <c r="T31" s="391"/>
      <c r="V31" s="391"/>
      <c r="X31" s="391"/>
    </row>
    <row r="32" spans="1:24">
      <c r="A32" s="360" t="s">
        <v>255</v>
      </c>
      <c r="B32" s="399" t="s">
        <v>103</v>
      </c>
      <c r="C32" s="285">
        <v>39607</v>
      </c>
      <c r="D32" s="389"/>
      <c r="E32" s="285">
        <v>42536</v>
      </c>
      <c r="F32" s="274"/>
      <c r="G32" s="297">
        <f>-'Exhibit H'!AA70</f>
        <v>43147.199999999997</v>
      </c>
      <c r="H32" s="274"/>
      <c r="I32" s="274">
        <f t="shared" si="2"/>
        <v>3540.1999999999971</v>
      </c>
      <c r="J32" s="274"/>
      <c r="K32" s="274">
        <f t="shared" si="3"/>
        <v>611.19999999999709</v>
      </c>
      <c r="L32" s="1599"/>
      <c r="M32" s="1599"/>
      <c r="N32" s="1600"/>
      <c r="P32" s="391"/>
      <c r="Q32" s="399"/>
    </row>
    <row r="33" spans="1:24" ht="18" customHeight="1">
      <c r="A33" s="1248" t="s">
        <v>277</v>
      </c>
      <c r="B33" s="36" t="s">
        <v>103</v>
      </c>
      <c r="C33" s="631">
        <f>ROUND(SUM(C30:C32),1)</f>
        <v>40382</v>
      </c>
      <c r="D33" s="274"/>
      <c r="E33" s="631">
        <f>ROUND(SUM(E30:E32),1)</f>
        <v>43153</v>
      </c>
      <c r="F33" s="274"/>
      <c r="G33" s="631">
        <f>ROUND(SUM(G30:G32),1)</f>
        <v>43662.1</v>
      </c>
      <c r="H33" s="274"/>
      <c r="I33" s="631">
        <f>ROUND(SUM(I30:I32),1)</f>
        <v>3280.1</v>
      </c>
      <c r="J33" s="274"/>
      <c r="K33" s="631">
        <f>ROUND(SUM(K30:K32),1)</f>
        <v>509.1</v>
      </c>
      <c r="L33" s="1599"/>
      <c r="M33" s="1601"/>
      <c r="N33" s="1601"/>
      <c r="O33" s="36"/>
      <c r="P33" s="36"/>
      <c r="Q33" s="36"/>
      <c r="R33" s="36"/>
      <c r="S33" s="36"/>
      <c r="T33" s="36"/>
      <c r="U33" s="36"/>
      <c r="V33" s="36"/>
      <c r="W33" s="36"/>
      <c r="X33" s="36"/>
    </row>
    <row r="34" spans="1:24">
      <c r="C34" s="629"/>
      <c r="D34" s="274"/>
      <c r="E34" s="629"/>
      <c r="F34" s="274"/>
      <c r="G34" s="629"/>
      <c r="H34" s="274"/>
      <c r="I34" s="629"/>
      <c r="J34" s="274"/>
      <c r="K34" s="629"/>
      <c r="L34" s="1599"/>
      <c r="M34" s="1599"/>
      <c r="N34" s="1599"/>
    </row>
    <row r="35" spans="1:24">
      <c r="A35" s="3" t="s">
        <v>278</v>
      </c>
      <c r="C35" s="274"/>
      <c r="D35" s="13"/>
      <c r="E35" s="274"/>
      <c r="F35" s="13"/>
      <c r="G35" s="274"/>
      <c r="H35" s="13"/>
      <c r="I35" s="274"/>
      <c r="J35" s="13"/>
      <c r="K35" s="274"/>
      <c r="L35" s="1599"/>
      <c r="M35" s="1599"/>
      <c r="N35" s="1599"/>
    </row>
    <row r="36" spans="1:24">
      <c r="A36" s="3" t="s">
        <v>279</v>
      </c>
      <c r="C36" s="274"/>
      <c r="D36" s="274"/>
      <c r="E36" s="274"/>
      <c r="F36" s="274"/>
      <c r="G36" s="274"/>
      <c r="H36" s="274"/>
      <c r="I36" s="274"/>
      <c r="J36" s="274"/>
      <c r="K36" s="274"/>
      <c r="L36" s="1599"/>
      <c r="M36" s="1599"/>
      <c r="N36" s="1599"/>
    </row>
    <row r="37" spans="1:24">
      <c r="A37" s="1248" t="s">
        <v>259</v>
      </c>
      <c r="B37" s="1247" t="s">
        <v>103</v>
      </c>
      <c r="C37" s="13">
        <f>C27-C33</f>
        <v>2554</v>
      </c>
      <c r="D37" s="274"/>
      <c r="E37" s="13">
        <f>E27-E33</f>
        <v>2340</v>
      </c>
      <c r="F37" s="274"/>
      <c r="G37" s="13">
        <f>G27-G33</f>
        <v>3082.5</v>
      </c>
      <c r="H37" s="274"/>
      <c r="I37" s="13">
        <f>ROUND(SUM(I27)-SUM(I33),1)</f>
        <v>528.5</v>
      </c>
      <c r="J37" s="274"/>
      <c r="K37" s="13">
        <f>ROUND(SUM(K27)-SUM(K33),1)</f>
        <v>742.5</v>
      </c>
      <c r="L37" s="1599"/>
      <c r="M37" s="1603"/>
      <c r="N37" s="1601"/>
      <c r="O37" s="42"/>
      <c r="P37" s="36"/>
      <c r="Q37" s="36"/>
      <c r="R37" s="42"/>
      <c r="S37" s="36"/>
      <c r="T37" s="36"/>
      <c r="U37" s="42"/>
      <c r="V37" s="36"/>
      <c r="W37" s="42"/>
      <c r="X37" s="36"/>
    </row>
    <row r="38" spans="1:24" ht="15" customHeight="1">
      <c r="C38" s="274"/>
      <c r="D38" s="274"/>
      <c r="E38" s="274"/>
      <c r="F38" s="274"/>
      <c r="G38" s="274"/>
      <c r="H38" s="274"/>
      <c r="I38" s="274"/>
      <c r="J38" s="274"/>
      <c r="K38" s="274"/>
      <c r="L38" s="1599"/>
      <c r="M38" s="1599"/>
      <c r="N38" s="1599"/>
    </row>
    <row r="39" spans="1:24">
      <c r="A39" s="1248" t="str">
        <f>'Exh D Governmental  '!A49</f>
        <v>Fund Balances (Deficits) at April 1</v>
      </c>
      <c r="B39" s="266" t="s">
        <v>103</v>
      </c>
      <c r="C39" s="13">
        <v>104</v>
      </c>
      <c r="D39" s="18"/>
      <c r="E39" s="13">
        <v>104</v>
      </c>
      <c r="F39" s="18"/>
      <c r="G39" s="13">
        <v>104.6</v>
      </c>
      <c r="H39" s="18"/>
      <c r="I39" s="13">
        <f>G39-C39</f>
        <v>0.59999999999999432</v>
      </c>
      <c r="J39" s="18"/>
      <c r="K39" s="13">
        <f t="shared" ref="K39" si="4">G39-E39</f>
        <v>0.59999999999999432</v>
      </c>
      <c r="L39" s="1599"/>
      <c r="M39" s="1599"/>
      <c r="N39" s="1599"/>
      <c r="P39" s="1567"/>
    </row>
    <row r="40" spans="1:24" ht="18" customHeight="1" thickBot="1">
      <c r="A40" s="1248" t="str">
        <f>+'Exh D Governmental  '!A50</f>
        <v>Fund Balances (Deficits) at February 28, 2025</v>
      </c>
      <c r="B40" s="43" t="s">
        <v>103</v>
      </c>
      <c r="C40" s="688">
        <f>ROUND(SUM(C37:C39),1)</f>
        <v>2658</v>
      </c>
      <c r="D40" s="274"/>
      <c r="E40" s="688">
        <f>ROUND(SUM(E37:E39),1)</f>
        <v>2444</v>
      </c>
      <c r="F40" s="274"/>
      <c r="G40" s="688">
        <f>ROUND(SUM(G37:G39),1)</f>
        <v>3187.1</v>
      </c>
      <c r="H40" s="274"/>
      <c r="I40" s="688">
        <f>ROUND(SUM(I37:I39),1)</f>
        <v>529.1</v>
      </c>
      <c r="J40" s="274"/>
      <c r="K40" s="688">
        <f>ROUND(SUM(K37:K39),1)</f>
        <v>743.1</v>
      </c>
      <c r="L40" s="1599"/>
      <c r="M40" s="1599"/>
      <c r="N40" s="1599"/>
    </row>
    <row r="41" spans="1:24" ht="15" customHeight="1" thickTop="1">
      <c r="A41" s="39"/>
      <c r="C41" s="300"/>
      <c r="D41" s="274"/>
      <c r="E41" s="300"/>
      <c r="F41" s="274"/>
      <c r="G41" s="284"/>
      <c r="H41" s="274"/>
      <c r="I41" s="284"/>
      <c r="J41" s="274"/>
      <c r="K41" s="284"/>
    </row>
    <row r="42" spans="1:24">
      <c r="A42" s="396" t="str">
        <f>'Exh D Governmental  '!A52</f>
        <v xml:space="preserve">(*)    Source: 2024-25 Enacted Budget dated May 24, 2024.  </v>
      </c>
      <c r="D42" s="44"/>
      <c r="F42" s="44"/>
      <c r="H42" s="44"/>
      <c r="J42" s="44"/>
    </row>
    <row r="43" spans="1:24">
      <c r="A43" s="396" t="str">
        <f>'Exh D Governmental  '!A53</f>
        <v>(**)   Source: 2025-26 Executive Budget with 30-day amendments dated February 20, 2025, which made no changes to the Executive Budget Financial Plan.</v>
      </c>
    </row>
    <row r="44" spans="1:24">
      <c r="A44" s="360"/>
    </row>
    <row r="45" spans="1:24">
      <c r="A45" s="360"/>
      <c r="D45" s="301"/>
      <c r="F45" s="301"/>
      <c r="H45" s="301"/>
      <c r="J45" s="301"/>
    </row>
    <row r="46" spans="1:24">
      <c r="D46" s="301"/>
      <c r="F46" s="301"/>
      <c r="H46" s="301"/>
      <c r="J46" s="301"/>
    </row>
    <row r="47" spans="1:24">
      <c r="A47" s="59"/>
    </row>
    <row r="48" spans="1:24">
      <c r="A48" s="59"/>
      <c r="D48" s="301"/>
      <c r="F48" s="301"/>
      <c r="H48" s="301"/>
      <c r="J48" s="301"/>
    </row>
    <row r="49" spans="4:10">
      <c r="D49" s="301"/>
      <c r="F49" s="301"/>
      <c r="H49" s="301"/>
      <c r="J49" s="301"/>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workbookViewId="0"/>
  </sheetViews>
  <sheetFormatPr defaultColWidth="8.69140625" defaultRowHeight="15.5"/>
  <cols>
    <col min="1" max="1" width="51.69140625" style="301" customWidth="1"/>
    <col min="2" max="2" width="2.0742187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2" width="1.07421875" style="266" customWidth="1"/>
    <col min="13" max="13" width="15.69140625" style="266" customWidth="1"/>
    <col min="14" max="14" width="1.07421875" style="266" customWidth="1"/>
    <col min="15" max="15" width="15.69140625" style="266" customWidth="1"/>
    <col min="16" max="18" width="9.69140625" style="266" bestFit="1" customWidth="1"/>
    <col min="19" max="16384" width="8.69140625" style="301"/>
  </cols>
  <sheetData>
    <row r="1" spans="1:33">
      <c r="A1" s="275" t="s">
        <v>97</v>
      </c>
      <c r="D1" s="49"/>
      <c r="F1" s="49"/>
      <c r="H1" s="49"/>
      <c r="J1" s="49"/>
      <c r="L1" s="49"/>
      <c r="N1" s="49"/>
    </row>
    <row r="2" spans="1:33" ht="16.5">
      <c r="A2" s="48"/>
      <c r="B2" s="49"/>
      <c r="C2" s="129"/>
      <c r="D2" s="49"/>
      <c r="E2" s="129"/>
      <c r="F2" s="49"/>
      <c r="G2" s="49"/>
      <c r="H2" s="49"/>
      <c r="I2" s="49"/>
      <c r="J2" s="49"/>
      <c r="K2" s="49"/>
      <c r="L2" s="49"/>
      <c r="M2" s="49"/>
      <c r="N2" s="49"/>
    </row>
    <row r="3" spans="1:33" ht="18">
      <c r="A3" s="51" t="s">
        <v>98</v>
      </c>
      <c r="B3" s="30"/>
      <c r="C3" s="130"/>
      <c r="D3" s="30"/>
      <c r="E3" s="130"/>
      <c r="F3" s="30"/>
      <c r="G3" s="30"/>
      <c r="H3" s="30"/>
      <c r="I3" s="30"/>
      <c r="J3" s="30"/>
      <c r="K3" s="30"/>
      <c r="L3" s="30"/>
      <c r="M3" s="362"/>
      <c r="N3" s="30"/>
      <c r="O3" s="362" t="s">
        <v>231</v>
      </c>
    </row>
    <row r="4" spans="1:33" ht="18">
      <c r="A4" s="51" t="s">
        <v>232</v>
      </c>
      <c r="B4" s="30"/>
      <c r="C4" s="130"/>
      <c r="D4" s="30"/>
      <c r="E4" s="130"/>
      <c r="F4" s="30"/>
      <c r="G4" s="30"/>
      <c r="H4" s="30"/>
      <c r="I4" s="30"/>
      <c r="J4" s="30"/>
      <c r="K4" s="30"/>
      <c r="L4" s="30"/>
      <c r="M4" s="363"/>
      <c r="N4" s="30"/>
      <c r="O4" s="363"/>
    </row>
    <row r="5" spans="1:33" ht="18">
      <c r="A5" s="2121" t="str">
        <f>'Exh D Governmental  '!A5</f>
        <v>FISCAL YEAR 2024-2025</v>
      </c>
      <c r="B5" s="2120"/>
      <c r="C5" s="2120"/>
      <c r="D5" s="2120"/>
      <c r="E5" s="2120"/>
      <c r="F5" s="30"/>
      <c r="G5" s="30"/>
      <c r="H5" s="30"/>
      <c r="I5" s="30"/>
      <c r="J5" s="30"/>
      <c r="K5" s="30"/>
      <c r="L5" s="30"/>
      <c r="M5" s="30"/>
      <c r="N5" s="30"/>
    </row>
    <row r="6" spans="1:33" ht="18">
      <c r="A6" s="551" t="str">
        <f>+'Exh D Governmental  '!A6</f>
        <v>FOR ELEVEN MONTHS ENDED FEBRUARY 28, 2025</v>
      </c>
      <c r="B6" s="30"/>
      <c r="C6" s="130"/>
      <c r="D6" s="30"/>
      <c r="E6" s="130"/>
      <c r="F6" s="30"/>
      <c r="G6" s="30"/>
      <c r="H6" s="30"/>
      <c r="I6" s="30"/>
      <c r="J6" s="30"/>
      <c r="K6" s="30"/>
      <c r="L6" s="30"/>
      <c r="M6" s="30"/>
      <c r="N6" s="30"/>
      <c r="O6" s="30"/>
      <c r="P6" s="30"/>
      <c r="Q6" s="30"/>
      <c r="R6" s="30"/>
      <c r="S6" s="30"/>
      <c r="T6" s="30"/>
      <c r="U6" s="30"/>
      <c r="V6" s="30"/>
      <c r="W6" s="30"/>
      <c r="X6" s="30"/>
      <c r="Y6" s="30"/>
      <c r="Z6" s="30"/>
      <c r="AA6" s="30"/>
      <c r="AB6" s="266"/>
      <c r="AC6" s="266"/>
      <c r="AD6" s="266"/>
      <c r="AE6" s="266"/>
      <c r="AF6" s="266"/>
      <c r="AG6" s="266"/>
    </row>
    <row r="7" spans="1:33" ht="18">
      <c r="A7" s="51" t="s">
        <v>233</v>
      </c>
      <c r="B7" s="30"/>
      <c r="C7" s="130"/>
      <c r="D7" s="30"/>
      <c r="E7" s="130"/>
      <c r="F7" s="30"/>
      <c r="G7" s="30"/>
      <c r="H7" s="30"/>
      <c r="I7" s="30"/>
      <c r="J7" s="30"/>
      <c r="K7" s="30"/>
      <c r="L7" s="30"/>
      <c r="M7" s="30"/>
      <c r="N7" s="30"/>
    </row>
    <row r="8" spans="1:33" ht="17.5">
      <c r="A8" s="34"/>
      <c r="B8" s="30"/>
      <c r="C8" s="130"/>
      <c r="D8" s="30"/>
      <c r="E8" s="130"/>
      <c r="F8" s="30"/>
      <c r="G8" s="30"/>
      <c r="H8" s="30"/>
      <c r="I8" s="30"/>
      <c r="J8" s="30"/>
      <c r="K8" s="30"/>
      <c r="L8" s="30"/>
      <c r="M8" s="30"/>
      <c r="N8" s="30"/>
    </row>
    <row r="9" spans="1:33">
      <c r="A9" s="35"/>
      <c r="B9" s="30"/>
      <c r="C9" s="130"/>
      <c r="D9" s="30"/>
      <c r="E9" s="130"/>
      <c r="F9" s="30"/>
      <c r="G9" s="30"/>
      <c r="H9" s="30"/>
      <c r="I9" s="30"/>
      <c r="J9" s="30"/>
      <c r="K9" s="30"/>
      <c r="L9" s="30"/>
      <c r="M9" s="30"/>
      <c r="N9" s="30"/>
    </row>
    <row r="10" spans="1:33">
      <c r="A10" s="35"/>
      <c r="B10" s="30"/>
      <c r="C10" s="130"/>
      <c r="D10" s="30"/>
      <c r="E10" s="130"/>
      <c r="F10" s="30"/>
      <c r="G10" s="30"/>
      <c r="H10" s="30"/>
      <c r="I10" s="30"/>
      <c r="J10" s="30"/>
      <c r="K10" s="30"/>
      <c r="L10" s="30"/>
      <c r="M10" s="30"/>
      <c r="N10" s="30"/>
    </row>
    <row r="11" spans="1:33">
      <c r="B11" s="36"/>
      <c r="C11" s="1035"/>
      <c r="D11" s="438"/>
      <c r="E11" s="1035"/>
      <c r="F11" s="595"/>
      <c r="G11" s="1249"/>
      <c r="H11" s="595"/>
      <c r="I11" s="1249" t="s">
        <v>287</v>
      </c>
      <c r="J11" s="595"/>
      <c r="K11" s="595"/>
      <c r="L11" s="595"/>
      <c r="M11" s="595"/>
      <c r="N11" s="1033"/>
      <c r="O11" s="1033"/>
    </row>
    <row r="12" spans="1:33">
      <c r="B12" s="36"/>
      <c r="C12" s="36"/>
      <c r="D12" s="55"/>
      <c r="E12" s="36"/>
      <c r="F12" s="55"/>
      <c r="G12" s="36"/>
      <c r="H12" s="55"/>
      <c r="I12" s="36"/>
      <c r="J12" s="55"/>
      <c r="K12" s="36"/>
      <c r="L12" s="55"/>
      <c r="M12" s="37" t="s">
        <v>235</v>
      </c>
      <c r="N12" s="55"/>
      <c r="O12" s="37" t="s">
        <v>235</v>
      </c>
    </row>
    <row r="13" spans="1:33">
      <c r="B13" s="36"/>
      <c r="C13" s="36"/>
      <c r="D13" s="36"/>
      <c r="E13" s="36"/>
      <c r="F13" s="36"/>
      <c r="G13" s="36"/>
      <c r="H13" s="36"/>
      <c r="I13" s="36"/>
      <c r="J13" s="36"/>
      <c r="K13" s="36"/>
      <c r="L13" s="36"/>
      <c r="M13" s="37" t="s">
        <v>236</v>
      </c>
      <c r="N13" s="36"/>
      <c r="O13" s="37" t="s">
        <v>236</v>
      </c>
    </row>
    <row r="14" spans="1:33">
      <c r="B14" s="36"/>
      <c r="C14" s="38" t="s">
        <v>238</v>
      </c>
      <c r="D14" s="36"/>
      <c r="E14" s="37" t="s">
        <v>239</v>
      </c>
      <c r="F14" s="36"/>
      <c r="G14" s="36"/>
      <c r="H14" s="36"/>
      <c r="I14" s="36"/>
      <c r="J14" s="36"/>
      <c r="K14" s="36"/>
      <c r="L14" s="36"/>
      <c r="M14" s="37" t="s">
        <v>240</v>
      </c>
      <c r="N14" s="36"/>
      <c r="O14" s="37" t="s">
        <v>240</v>
      </c>
    </row>
    <row r="15" spans="1:33" ht="15.75" customHeight="1">
      <c r="B15" s="36"/>
      <c r="C15" s="37" t="s">
        <v>241</v>
      </c>
      <c r="D15" s="36"/>
      <c r="E15" s="37" t="s">
        <v>241</v>
      </c>
      <c r="F15" s="36"/>
      <c r="G15" s="36"/>
      <c r="H15" s="36"/>
      <c r="I15" s="36"/>
      <c r="J15" s="36"/>
      <c r="K15" s="36"/>
      <c r="L15" s="36"/>
      <c r="M15" s="37" t="s">
        <v>238</v>
      </c>
      <c r="N15" s="36"/>
      <c r="O15" s="37" t="s">
        <v>239</v>
      </c>
    </row>
    <row r="16" spans="1:33">
      <c r="B16" s="36"/>
      <c r="C16" s="37" t="s">
        <v>242</v>
      </c>
      <c r="D16" s="36"/>
      <c r="E16" s="37" t="s">
        <v>1522</v>
      </c>
      <c r="F16" s="36"/>
      <c r="G16" s="38" t="s">
        <v>235</v>
      </c>
      <c r="H16" s="36"/>
      <c r="I16" s="441" t="s">
        <v>282</v>
      </c>
      <c r="J16" s="36"/>
      <c r="K16" s="441" t="s">
        <v>283</v>
      </c>
      <c r="L16" s="36"/>
      <c r="M16" s="37" t="s">
        <v>243</v>
      </c>
      <c r="N16" s="36"/>
      <c r="O16" s="37" t="s">
        <v>243</v>
      </c>
    </row>
    <row r="17" spans="1:33">
      <c r="A17" s="39"/>
      <c r="B17" s="30"/>
      <c r="C17" s="1032"/>
      <c r="D17" s="30"/>
      <c r="E17" s="1032"/>
      <c r="F17" s="30"/>
      <c r="G17" s="1032"/>
      <c r="H17" s="30"/>
      <c r="I17" s="30"/>
      <c r="J17" s="30"/>
      <c r="K17" s="30"/>
      <c r="L17" s="30"/>
      <c r="M17" s="1032"/>
      <c r="N17" s="30"/>
      <c r="O17" s="1032"/>
    </row>
    <row r="18" spans="1:33">
      <c r="A18" s="3" t="s">
        <v>114</v>
      </c>
      <c r="C18" s="266"/>
      <c r="E18" s="266"/>
      <c r="G18" s="266" t="s">
        <v>103</v>
      </c>
    </row>
    <row r="19" spans="1:33">
      <c r="A19" s="360" t="s">
        <v>244</v>
      </c>
      <c r="B19" s="389" t="s">
        <v>103</v>
      </c>
      <c r="C19" s="284"/>
      <c r="D19" s="389"/>
      <c r="E19" s="284"/>
      <c r="F19" s="389"/>
      <c r="G19" s="400"/>
      <c r="H19" s="389"/>
      <c r="I19" s="286"/>
      <c r="J19" s="389"/>
      <c r="K19" s="286"/>
      <c r="L19" s="389"/>
      <c r="M19" s="284"/>
      <c r="N19" s="389"/>
      <c r="O19" s="284"/>
      <c r="S19" s="266"/>
      <c r="T19" s="266"/>
      <c r="U19" s="266"/>
      <c r="V19" s="266"/>
      <c r="W19" s="266"/>
      <c r="X19" s="266"/>
      <c r="Y19" s="266"/>
      <c r="Z19" s="266"/>
      <c r="AA19" s="266"/>
      <c r="AB19" s="266"/>
      <c r="AC19" s="266"/>
      <c r="AD19" s="266"/>
      <c r="AE19" s="266"/>
      <c r="AF19" s="266"/>
      <c r="AG19" s="266"/>
    </row>
    <row r="20" spans="1:33">
      <c r="A20" s="360" t="s">
        <v>246</v>
      </c>
      <c r="B20" s="266" t="s">
        <v>103</v>
      </c>
      <c r="C20" s="398">
        <v>568</v>
      </c>
      <c r="D20" s="1885"/>
      <c r="E20" s="398">
        <v>570</v>
      </c>
      <c r="F20" s="286"/>
      <c r="G20" s="398">
        <f>+'Exh D Captl Projects State Fed'!G20</f>
        <v>569.4</v>
      </c>
      <c r="H20" s="286"/>
      <c r="I20" s="398">
        <v>0</v>
      </c>
      <c r="J20" s="286"/>
      <c r="K20" s="598">
        <f>+G20+I20</f>
        <v>569.4</v>
      </c>
      <c r="L20" s="286"/>
      <c r="M20" s="284">
        <f>K20-C20</f>
        <v>1.3999999999999773</v>
      </c>
      <c r="N20" s="286"/>
      <c r="O20" s="284">
        <f>K20-E20</f>
        <v>-0.60000000000002274</v>
      </c>
      <c r="P20" s="1589"/>
      <c r="Q20" s="1589"/>
      <c r="S20" s="266"/>
      <c r="T20" s="266"/>
      <c r="U20" s="266"/>
      <c r="V20" s="266"/>
      <c r="W20" s="266"/>
      <c r="X20" s="266"/>
      <c r="Y20" s="266"/>
      <c r="Z20" s="266"/>
      <c r="AA20" s="266"/>
      <c r="AB20" s="266"/>
      <c r="AC20" s="266"/>
      <c r="AD20" s="266"/>
      <c r="AE20" s="266"/>
      <c r="AF20" s="266"/>
      <c r="AG20" s="266"/>
    </row>
    <row r="21" spans="1:33">
      <c r="A21" s="360" t="s">
        <v>247</v>
      </c>
      <c r="B21" s="389" t="s">
        <v>103</v>
      </c>
      <c r="C21" s="285">
        <v>551</v>
      </c>
      <c r="D21" s="377"/>
      <c r="E21" s="285">
        <v>558</v>
      </c>
      <c r="F21" s="274"/>
      <c r="G21" s="298">
        <f>+'Exh D Captl Projects State Fed'!G21</f>
        <v>559.4</v>
      </c>
      <c r="H21" s="274"/>
      <c r="I21" s="285">
        <v>0</v>
      </c>
      <c r="J21" s="274"/>
      <c r="K21" s="599">
        <f t="shared" ref="K21:K26" si="0">+G21+I21</f>
        <v>559.4</v>
      </c>
      <c r="L21" s="274"/>
      <c r="M21" s="274">
        <f>K21-C21</f>
        <v>8.3999999999999773</v>
      </c>
      <c r="N21" s="274"/>
      <c r="O21" s="274">
        <f t="shared" ref="O21:O26" si="1">K21-E21</f>
        <v>1.3999999999999773</v>
      </c>
      <c r="P21" s="1589"/>
      <c r="Q21" s="1589"/>
      <c r="R21" s="389"/>
      <c r="S21" s="266"/>
      <c r="T21" s="266"/>
      <c r="U21" s="389"/>
      <c r="V21" s="266"/>
      <c r="W21" s="266"/>
      <c r="X21" s="389"/>
      <c r="Y21" s="58"/>
      <c r="Z21" s="389"/>
      <c r="AA21" s="266"/>
      <c r="AB21" s="266"/>
      <c r="AC21" s="266"/>
      <c r="AD21" s="266"/>
      <c r="AE21" s="266"/>
      <c r="AF21" s="266"/>
      <c r="AG21" s="266"/>
    </row>
    <row r="22" spans="1:33">
      <c r="A22" s="360" t="s">
        <v>248</v>
      </c>
      <c r="B22" s="266" t="s">
        <v>103</v>
      </c>
      <c r="C22" s="285">
        <v>234</v>
      </c>
      <c r="D22" s="1885"/>
      <c r="E22" s="285">
        <v>232</v>
      </c>
      <c r="F22" s="297"/>
      <c r="G22" s="298">
        <f>+'Exh D Captl Projects State Fed'!G22</f>
        <v>231.6</v>
      </c>
      <c r="H22" s="297"/>
      <c r="I22" s="285">
        <v>0</v>
      </c>
      <c r="J22" s="297"/>
      <c r="K22" s="599">
        <f>+G22+I22</f>
        <v>231.6</v>
      </c>
      <c r="L22" s="297"/>
      <c r="M22" s="274">
        <f t="shared" ref="M22:M26" si="2">K22-C22</f>
        <v>-2.4000000000000057</v>
      </c>
      <c r="N22" s="297"/>
      <c r="O22" s="274">
        <f t="shared" si="1"/>
        <v>-0.40000000000000568</v>
      </c>
      <c r="P22" s="1589"/>
      <c r="Q22" s="1589"/>
      <c r="S22" s="266"/>
      <c r="T22" s="266"/>
      <c r="U22" s="266"/>
      <c r="V22" s="266"/>
      <c r="W22" s="266"/>
      <c r="X22" s="266"/>
      <c r="Y22" s="266"/>
      <c r="Z22" s="266"/>
      <c r="AA22" s="266"/>
      <c r="AB22" s="266"/>
      <c r="AC22" s="266"/>
      <c r="AD22" s="266"/>
      <c r="AE22" s="266"/>
      <c r="AF22" s="266"/>
      <c r="AG22" s="266"/>
    </row>
    <row r="23" spans="1:33">
      <c r="A23" s="360" t="s">
        <v>119</v>
      </c>
      <c r="B23" s="266" t="s">
        <v>103</v>
      </c>
      <c r="C23" s="285">
        <v>4951</v>
      </c>
      <c r="D23" s="1886"/>
      <c r="E23" s="285">
        <v>4081</v>
      </c>
      <c r="F23" s="1229"/>
      <c r="G23" s="274">
        <f>+'Exh D Captl Projects State Fed'!G23+'Exh D Captl Projects State Fed'!S23</f>
        <v>3685.8999999999996</v>
      </c>
      <c r="H23" s="1229"/>
      <c r="I23" s="274">
        <v>0</v>
      </c>
      <c r="J23" s="1229"/>
      <c r="K23" s="599">
        <f t="shared" si="0"/>
        <v>3685.8999999999996</v>
      </c>
      <c r="L23" s="1229"/>
      <c r="M23" s="274">
        <f t="shared" si="2"/>
        <v>-1265.1000000000004</v>
      </c>
      <c r="N23" s="1229"/>
      <c r="O23" s="274">
        <f t="shared" si="1"/>
        <v>-395.10000000000036</v>
      </c>
      <c r="P23" s="1589"/>
      <c r="Q23" s="1589"/>
    </row>
    <row r="24" spans="1:33">
      <c r="A24" s="360" t="s">
        <v>120</v>
      </c>
      <c r="B24" s="266" t="s">
        <v>103</v>
      </c>
      <c r="C24" s="285">
        <v>2721</v>
      </c>
      <c r="D24" s="1885"/>
      <c r="E24" s="285">
        <v>2694</v>
      </c>
      <c r="F24" s="274"/>
      <c r="G24" s="274">
        <f>+'Exh D Captl Projects State Fed'!G24+'Exh D Captl Projects State Fed'!S24</f>
        <v>2646.6</v>
      </c>
      <c r="H24" s="274"/>
      <c r="I24" s="274">
        <v>0</v>
      </c>
      <c r="J24" s="274"/>
      <c r="K24" s="599">
        <f t="shared" si="0"/>
        <v>2646.6</v>
      </c>
      <c r="L24" s="274"/>
      <c r="M24" s="274">
        <f t="shared" si="2"/>
        <v>-74.400000000000091</v>
      </c>
      <c r="N24" s="274"/>
      <c r="O24" s="274">
        <f t="shared" si="1"/>
        <v>-47.400000000000091</v>
      </c>
      <c r="P24" s="1589"/>
      <c r="Q24" s="1589"/>
    </row>
    <row r="25" spans="1:33">
      <c r="A25" s="360" t="s">
        <v>254</v>
      </c>
      <c r="B25" s="266" t="s">
        <v>103</v>
      </c>
      <c r="C25" s="285">
        <v>0</v>
      </c>
      <c r="D25" s="1885"/>
      <c r="E25" s="285">
        <v>0</v>
      </c>
      <c r="F25" s="274"/>
      <c r="G25" s="285">
        <f>+'Exh D Captl Projects State Fed'!G25+'Exh D Captl Projects State Fed'!S25</f>
        <v>0</v>
      </c>
      <c r="H25" s="274"/>
      <c r="I25" s="274">
        <v>0</v>
      </c>
      <c r="J25" s="274"/>
      <c r="K25" s="285">
        <f t="shared" si="0"/>
        <v>0</v>
      </c>
      <c r="L25" s="274"/>
      <c r="M25" s="274">
        <f t="shared" si="2"/>
        <v>0</v>
      </c>
      <c r="N25" s="274"/>
      <c r="O25" s="274">
        <f t="shared" si="1"/>
        <v>0</v>
      </c>
      <c r="P25" s="1589"/>
      <c r="Q25" s="1589"/>
    </row>
    <row r="26" spans="1:33">
      <c r="A26" s="360" t="s">
        <v>147</v>
      </c>
      <c r="B26" s="266" t="s">
        <v>103</v>
      </c>
      <c r="C26" s="285">
        <v>7646</v>
      </c>
      <c r="D26" s="1885"/>
      <c r="E26" s="285">
        <v>7155</v>
      </c>
      <c r="F26" s="13"/>
      <c r="G26" s="297">
        <f>+'Exh D Captl Projects State Fed'!G26+'Exh D Captl Projects State Fed'!S26</f>
        <v>6463.8</v>
      </c>
      <c r="H26" s="13"/>
      <c r="I26" s="274">
        <f>'Exhibit I'!AC91</f>
        <v>0</v>
      </c>
      <c r="J26" s="13"/>
      <c r="K26" s="599">
        <f t="shared" si="0"/>
        <v>6463.8</v>
      </c>
      <c r="L26" s="13"/>
      <c r="M26" s="274">
        <f t="shared" si="2"/>
        <v>-1182.1999999999998</v>
      </c>
      <c r="N26" s="13"/>
      <c r="O26" s="274">
        <f t="shared" si="1"/>
        <v>-691.19999999999982</v>
      </c>
      <c r="P26" s="1589"/>
      <c r="Q26" s="1589"/>
    </row>
    <row r="27" spans="1:33" ht="18" customHeight="1">
      <c r="A27" s="1248" t="s">
        <v>268</v>
      </c>
      <c r="B27" s="36" t="s">
        <v>103</v>
      </c>
      <c r="C27" s="631">
        <f>ROUND(SUM(C20:C26),1)</f>
        <v>16671</v>
      </c>
      <c r="D27" s="274"/>
      <c r="E27" s="631">
        <f>ROUND(SUM(E20:E26),1)</f>
        <v>15290</v>
      </c>
      <c r="F27" s="274"/>
      <c r="G27" s="631">
        <f>ROUND(SUM(G20:G26),1)</f>
        <v>14156.7</v>
      </c>
      <c r="H27" s="274"/>
      <c r="I27" s="630">
        <f>ROUND(SUM(I20:I26),1)</f>
        <v>0</v>
      </c>
      <c r="J27" s="274"/>
      <c r="K27" s="630">
        <f>ROUND(SUM(K20:K26),1)</f>
        <v>14156.7</v>
      </c>
      <c r="L27" s="274"/>
      <c r="M27" s="631">
        <f>ROUND(SUM(M20:M26),1)</f>
        <v>-2514.3000000000002</v>
      </c>
      <c r="N27" s="274"/>
      <c r="O27" s="631">
        <f>ROUND(SUM(O20:O26),1)</f>
        <v>-1133.3</v>
      </c>
      <c r="P27" s="1589"/>
      <c r="Q27" s="1589"/>
    </row>
    <row r="28" spans="1:33">
      <c r="B28" s="266" t="s">
        <v>103</v>
      </c>
      <c r="C28" s="629"/>
      <c r="D28" s="274"/>
      <c r="E28" s="629"/>
      <c r="F28" s="274"/>
      <c r="G28" s="629"/>
      <c r="H28" s="274"/>
      <c r="I28" s="274"/>
      <c r="J28" s="274"/>
      <c r="K28" s="274"/>
      <c r="L28" s="274"/>
      <c r="M28" s="629" t="s">
        <v>103</v>
      </c>
      <c r="N28" s="274"/>
      <c r="O28" s="629" t="s">
        <v>103</v>
      </c>
      <c r="P28" s="1589"/>
      <c r="Q28" s="1589"/>
    </row>
    <row r="29" spans="1:33">
      <c r="A29" s="3" t="s">
        <v>122</v>
      </c>
      <c r="B29" s="266" t="s">
        <v>103</v>
      </c>
      <c r="C29" s="274"/>
      <c r="D29" s="274"/>
      <c r="E29" s="274"/>
      <c r="F29" s="274"/>
      <c r="G29" s="274"/>
      <c r="H29" s="274"/>
      <c r="I29" s="274"/>
      <c r="J29" s="274"/>
      <c r="K29" s="274"/>
      <c r="L29" s="274"/>
      <c r="M29" s="274"/>
      <c r="N29" s="274"/>
      <c r="O29" s="274"/>
      <c r="P29" s="1589"/>
      <c r="Q29" s="1589"/>
    </row>
    <row r="30" spans="1:33">
      <c r="A30" s="360" t="s">
        <v>250</v>
      </c>
      <c r="B30" s="266" t="s">
        <v>103</v>
      </c>
      <c r="C30" s="285">
        <v>5623</v>
      </c>
      <c r="D30" s="1885"/>
      <c r="E30" s="285">
        <v>6320</v>
      </c>
      <c r="F30" s="274"/>
      <c r="G30" s="274">
        <f>+'Exh D Captl Projects State Fed'!G30+'Exh D Captl Projects State Fed'!S30</f>
        <v>6616.7</v>
      </c>
      <c r="H30" s="274"/>
      <c r="I30" s="274">
        <v>0</v>
      </c>
      <c r="J30" s="274"/>
      <c r="K30" s="599">
        <f>+G30+I30</f>
        <v>6616.7</v>
      </c>
      <c r="L30" s="274"/>
      <c r="M30" s="274">
        <f t="shared" ref="M30:M32" si="3">K30-C30</f>
        <v>993.69999999999982</v>
      </c>
      <c r="N30" s="274"/>
      <c r="O30" s="274">
        <f t="shared" ref="O30:O32" si="4">K30-E30</f>
        <v>296.69999999999982</v>
      </c>
      <c r="P30" s="1589"/>
      <c r="Q30" s="1589"/>
    </row>
    <row r="31" spans="1:33">
      <c r="A31" s="360" t="s">
        <v>140</v>
      </c>
      <c r="B31" s="266" t="s">
        <v>103</v>
      </c>
      <c r="C31" s="285">
        <v>11738</v>
      </c>
      <c r="D31" s="1885"/>
      <c r="E31" s="285">
        <v>10584</v>
      </c>
      <c r="F31" s="274"/>
      <c r="G31" s="274">
        <f>+'Exh D Captl Projects State Fed'!G31+'Exh D Captl Projects State Fed'!S31</f>
        <v>8688.7000000000007</v>
      </c>
      <c r="H31" s="274"/>
      <c r="I31" s="274">
        <v>0</v>
      </c>
      <c r="J31" s="274"/>
      <c r="K31" s="599">
        <f>+G31+I31</f>
        <v>8688.7000000000007</v>
      </c>
      <c r="L31" s="274"/>
      <c r="M31" s="274">
        <f t="shared" si="3"/>
        <v>-3049.2999999999993</v>
      </c>
      <c r="N31" s="274"/>
      <c r="O31" s="274">
        <f t="shared" si="4"/>
        <v>-1895.2999999999993</v>
      </c>
      <c r="P31" s="1589"/>
      <c r="Q31" s="1589"/>
    </row>
    <row r="32" spans="1:33">
      <c r="A32" s="360" t="s">
        <v>255</v>
      </c>
      <c r="B32" s="266" t="s">
        <v>103</v>
      </c>
      <c r="C32" s="285">
        <v>262</v>
      </c>
      <c r="D32" s="1885"/>
      <c r="E32" s="285">
        <v>136</v>
      </c>
      <c r="F32" s="274"/>
      <c r="G32" s="274">
        <f>+'Exh D Captl Projects State Fed'!G32+'Exh D Captl Projects State Fed'!S32</f>
        <v>130.4</v>
      </c>
      <c r="H32" s="274"/>
      <c r="I32" s="274">
        <f>-'Exhibit I'!AC92</f>
        <v>0</v>
      </c>
      <c r="J32" s="274"/>
      <c r="K32" s="599">
        <f>+G32+I32</f>
        <v>130.4</v>
      </c>
      <c r="L32" s="274"/>
      <c r="M32" s="274">
        <f t="shared" si="3"/>
        <v>-131.6</v>
      </c>
      <c r="N32" s="274"/>
      <c r="O32" s="274">
        <f t="shared" si="4"/>
        <v>-5.5999999999999943</v>
      </c>
      <c r="P32" s="1589"/>
      <c r="Q32" s="1589"/>
    </row>
    <row r="33" spans="1:33" ht="18" customHeight="1">
      <c r="A33" s="1248" t="s">
        <v>277</v>
      </c>
      <c r="B33" s="36" t="s">
        <v>103</v>
      </c>
      <c r="C33" s="631">
        <f>ROUND(SUM(C30:C32),1)</f>
        <v>17623</v>
      </c>
      <c r="D33" s="274"/>
      <c r="E33" s="631">
        <f>ROUND(SUM(E30:E32),1)</f>
        <v>17040</v>
      </c>
      <c r="F33" s="274"/>
      <c r="G33" s="631">
        <f>ROUND(SUM(G30:G32),1)</f>
        <v>15435.8</v>
      </c>
      <c r="H33" s="274"/>
      <c r="I33" s="630">
        <f>ROUND(SUM(I30:I32),1)</f>
        <v>0</v>
      </c>
      <c r="J33" s="274"/>
      <c r="K33" s="630">
        <f>ROUND(SUM(K30:K32),1)</f>
        <v>15435.8</v>
      </c>
      <c r="L33" s="274"/>
      <c r="M33" s="631">
        <f>ROUND(SUM(M30:M32),1)</f>
        <v>-2187.1999999999998</v>
      </c>
      <c r="N33" s="274"/>
      <c r="O33" s="631">
        <f>ROUND(SUM(O30:O32),1)</f>
        <v>-1604.2</v>
      </c>
      <c r="P33" s="1589"/>
      <c r="Q33" s="1589"/>
    </row>
    <row r="34" spans="1:33">
      <c r="B34" s="266" t="s">
        <v>103</v>
      </c>
      <c r="C34" s="629"/>
      <c r="D34" s="274"/>
      <c r="E34" s="629"/>
      <c r="F34" s="274"/>
      <c r="G34" s="629"/>
      <c r="H34" s="274"/>
      <c r="I34" s="274"/>
      <c r="J34" s="274"/>
      <c r="K34" s="274"/>
      <c r="L34" s="274"/>
      <c r="M34" s="629"/>
      <c r="N34" s="274"/>
      <c r="O34" s="629"/>
      <c r="P34" s="1589"/>
      <c r="Q34" s="1589"/>
    </row>
    <row r="35" spans="1:33">
      <c r="A35" s="3" t="s">
        <v>257</v>
      </c>
      <c r="C35" s="274"/>
      <c r="D35" s="13"/>
      <c r="E35" s="274"/>
      <c r="F35" s="13"/>
      <c r="G35" s="274"/>
      <c r="H35" s="13"/>
      <c r="I35" s="274"/>
      <c r="J35" s="13"/>
      <c r="K35" s="274"/>
      <c r="L35" s="13"/>
      <c r="M35" s="274"/>
      <c r="N35" s="13"/>
      <c r="O35" s="274"/>
      <c r="P35" s="1589"/>
      <c r="Q35" s="1589"/>
    </row>
    <row r="36" spans="1:33">
      <c r="A36" s="3" t="s">
        <v>258</v>
      </c>
      <c r="C36" s="274"/>
      <c r="D36" s="274"/>
      <c r="E36" s="274"/>
      <c r="F36" s="274"/>
      <c r="G36" s="274"/>
      <c r="H36" s="274"/>
      <c r="I36" s="274"/>
      <c r="J36" s="274"/>
      <c r="K36" s="274"/>
      <c r="L36" s="274"/>
      <c r="M36" s="274"/>
      <c r="N36" s="274"/>
      <c r="O36" s="274"/>
      <c r="P36" s="1589"/>
      <c r="Q36" s="1589"/>
    </row>
    <row r="37" spans="1:33">
      <c r="A37" s="1248" t="s">
        <v>259</v>
      </c>
      <c r="B37" s="42"/>
      <c r="C37" s="13">
        <f>ROUND(SUM(C27)-SUM(C33),1)</f>
        <v>-952</v>
      </c>
      <c r="D37" s="274"/>
      <c r="E37" s="13">
        <f>ROUND(SUM(E27)-SUM(E33),1)</f>
        <v>-1750</v>
      </c>
      <c r="F37" s="274"/>
      <c r="G37" s="13">
        <f>ROUND(SUM(G27)-SUM(G33),1)</f>
        <v>-1279.0999999999999</v>
      </c>
      <c r="H37" s="274"/>
      <c r="I37" s="18">
        <v>0</v>
      </c>
      <c r="J37" s="274"/>
      <c r="K37" s="13">
        <f>ROUND(SUM(K27)-SUM(K33),1)</f>
        <v>-1279.0999999999999</v>
      </c>
      <c r="L37" s="274"/>
      <c r="M37" s="13">
        <f>K37-C37</f>
        <v>-327.09999999999991</v>
      </c>
      <c r="N37" s="274"/>
      <c r="O37" s="13">
        <f>ROUND(SUM(O27)-SUM(O33),1)</f>
        <v>470.9</v>
      </c>
      <c r="P37" s="1589"/>
      <c r="Q37" s="1589"/>
    </row>
    <row r="38" spans="1:33">
      <c r="C38" s="274"/>
      <c r="D38" s="274"/>
      <c r="E38" s="274"/>
      <c r="F38" s="274"/>
      <c r="G38" s="274"/>
      <c r="H38" s="274"/>
      <c r="I38" s="274"/>
      <c r="J38" s="274"/>
      <c r="K38" s="274"/>
      <c r="L38" s="274"/>
      <c r="M38" s="274"/>
      <c r="N38" s="274"/>
      <c r="O38" s="274"/>
      <c r="P38" s="1589"/>
      <c r="Q38" s="1589"/>
    </row>
    <row r="39" spans="1:33">
      <c r="A39" s="1248" t="str">
        <f>+'Exh D Governmental  '!A49</f>
        <v>Fund Balances (Deficits) at April 1</v>
      </c>
      <c r="B39" s="395" t="s">
        <v>103</v>
      </c>
      <c r="C39" s="26">
        <f>'Exh D Captl Projects State Fed'!C39+'Exh D Captl Projects State Fed'!O39</f>
        <v>-1317</v>
      </c>
      <c r="D39" s="18"/>
      <c r="E39" s="26">
        <f>'Exh D Captl Projects State Fed'!E39+'Exh D Captl Projects State Fed'!Q39</f>
        <v>-1317</v>
      </c>
      <c r="F39" s="18"/>
      <c r="G39" s="13">
        <f>'Exhibit I'!E13</f>
        <v>-1318.1</v>
      </c>
      <c r="H39" s="18"/>
      <c r="I39" s="13">
        <v>0</v>
      </c>
      <c r="J39" s="18"/>
      <c r="K39" s="632">
        <f>+G39+I39</f>
        <v>-1318.1</v>
      </c>
      <c r="L39" s="18"/>
      <c r="M39" s="13">
        <f>K39-C39</f>
        <v>-1.0999999999999091</v>
      </c>
      <c r="N39" s="18"/>
      <c r="O39" s="13">
        <f t="shared" ref="O39" si="5">K39-E39</f>
        <v>-1.0999999999999091</v>
      </c>
      <c r="P39" s="1589"/>
      <c r="Q39" s="1589"/>
      <c r="R39" s="1589"/>
      <c r="S39" s="266"/>
      <c r="T39" s="266"/>
      <c r="U39" s="266"/>
      <c r="V39" s="266"/>
      <c r="W39" s="266"/>
      <c r="X39" s="266"/>
      <c r="Y39" s="266"/>
      <c r="Z39" s="266"/>
      <c r="AA39" s="266"/>
      <c r="AB39" s="266"/>
      <c r="AC39" s="266"/>
      <c r="AD39" s="266"/>
      <c r="AE39" s="266"/>
      <c r="AF39" s="266"/>
      <c r="AG39" s="266"/>
    </row>
    <row r="40" spans="1:33" ht="16" thickBot="1">
      <c r="A40" s="1248" t="str">
        <f>+'Exh D Governmental  '!A50</f>
        <v>Fund Balances (Deficits) at February 28, 2025</v>
      </c>
      <c r="B40" s="43" t="s">
        <v>103</v>
      </c>
      <c r="C40" s="688">
        <f>ROUND(SUM(C37:C39),1)</f>
        <v>-2269</v>
      </c>
      <c r="D40" s="274"/>
      <c r="E40" s="688">
        <f>ROUND(SUM(E37:E39),1)</f>
        <v>-3067</v>
      </c>
      <c r="F40" s="274"/>
      <c r="G40" s="688">
        <f>ROUND(SUM(G37:G39),1)</f>
        <v>-2597.1999999999998</v>
      </c>
      <c r="H40" s="274"/>
      <c r="I40" s="688">
        <f>ROUND(SUM(I37:I39),1)</f>
        <v>0</v>
      </c>
      <c r="J40" s="274"/>
      <c r="K40" s="688">
        <f>ROUND(SUM(K37:K39),1)</f>
        <v>-2597.1999999999998</v>
      </c>
      <c r="L40" s="274"/>
      <c r="M40" s="688">
        <f>ROUND(SUM(M37:M39),1)</f>
        <v>-328.2</v>
      </c>
      <c r="N40" s="274"/>
      <c r="O40" s="688">
        <f>ROUND(SUM(O37:O39),1)</f>
        <v>469.8</v>
      </c>
      <c r="P40" s="1589"/>
      <c r="Q40" s="1589"/>
      <c r="S40" s="266"/>
      <c r="T40" s="266"/>
      <c r="U40" s="266"/>
      <c r="V40" s="266"/>
      <c r="W40" s="266"/>
      <c r="X40" s="266"/>
      <c r="Y40" s="266"/>
      <c r="Z40" s="266"/>
      <c r="AA40" s="266"/>
      <c r="AB40" s="266"/>
      <c r="AC40" s="266"/>
      <c r="AD40" s="266"/>
      <c r="AE40" s="266"/>
      <c r="AF40" s="266"/>
      <c r="AG40" s="266"/>
    </row>
    <row r="41" spans="1:33" ht="16" thickTop="1">
      <c r="C41" s="266"/>
      <c r="D41" s="274"/>
      <c r="E41" s="266"/>
      <c r="F41" s="274"/>
      <c r="G41" s="278"/>
      <c r="H41" s="274"/>
      <c r="J41" s="274"/>
      <c r="L41" s="274"/>
      <c r="N41" s="274"/>
    </row>
    <row r="42" spans="1:33">
      <c r="A42" s="692" t="str">
        <f>'Exh D Governmental  '!A52</f>
        <v xml:space="preserve">(*)    Source: 2024-25 Enacted Budget dated May 24, 2024.  </v>
      </c>
      <c r="D42" s="44"/>
      <c r="F42" s="44"/>
      <c r="H42" s="44"/>
      <c r="J42" s="44"/>
      <c r="L42" s="44"/>
      <c r="N42" s="44"/>
    </row>
    <row r="43" spans="1:33">
      <c r="A43" s="396" t="str">
        <f>'Exh D Governmental  '!A53</f>
        <v>(**)   Source: 2025-26 Executive Budget with 30-day amendments dated February 20, 2025, which made no changes to the Executive Budget Financial Plan.</v>
      </c>
      <c r="G43" s="391"/>
      <c r="M43" s="391"/>
      <c r="O43" s="399"/>
    </row>
    <row r="44" spans="1:33">
      <c r="A44" s="360"/>
    </row>
    <row r="45" spans="1:33">
      <c r="A45" s="360"/>
      <c r="D45" s="301"/>
      <c r="F45" s="301"/>
      <c r="H45" s="301"/>
      <c r="J45" s="301"/>
      <c r="L45" s="301"/>
      <c r="N45" s="301"/>
    </row>
    <row r="46" spans="1:33">
      <c r="A46" s="423"/>
      <c r="D46" s="301"/>
      <c r="F46" s="301"/>
      <c r="H46" s="301"/>
      <c r="J46" s="301"/>
      <c r="L46" s="301"/>
      <c r="N46" s="301"/>
    </row>
    <row r="47" spans="1:33">
      <c r="A47" s="46"/>
    </row>
    <row r="48" spans="1:33">
      <c r="D48" s="301"/>
      <c r="F48" s="301"/>
      <c r="H48" s="301"/>
      <c r="J48" s="301"/>
      <c r="L48" s="301"/>
      <c r="N48" s="301"/>
    </row>
    <row r="49" spans="4:14">
      <c r="D49" s="301"/>
      <c r="F49" s="301"/>
      <c r="H49" s="301"/>
      <c r="J49" s="301"/>
      <c r="L49" s="301"/>
      <c r="N49" s="301"/>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workbookViewId="0"/>
  </sheetViews>
  <sheetFormatPr defaultColWidth="8.69140625" defaultRowHeight="15.5"/>
  <cols>
    <col min="1" max="1" width="51.69140625" style="301" customWidth="1"/>
    <col min="2" max="2" width="2.07421875" style="266" customWidth="1"/>
    <col min="3" max="3" width="15.69140625" style="133" customWidth="1"/>
    <col min="4" max="4" width="1.07421875" style="266" customWidth="1"/>
    <col min="5" max="5" width="15.69140625" style="133" customWidth="1"/>
    <col min="6" max="6" width="1.07421875" style="266" customWidth="1"/>
    <col min="7" max="7" width="15.69140625" style="266" customWidth="1"/>
    <col min="8" max="8" width="1.07421875" style="266" customWidth="1"/>
    <col min="9" max="9" width="15.69140625" style="266" customWidth="1"/>
    <col min="10" max="10" width="1.07421875" style="266" customWidth="1"/>
    <col min="11" max="11" width="15.69140625" style="266" customWidth="1"/>
    <col min="12" max="14" width="1.07421875" style="266" customWidth="1"/>
    <col min="15" max="15" width="15.69140625" style="266" customWidth="1"/>
    <col min="16" max="16" width="1.07421875" style="266" customWidth="1"/>
    <col min="17" max="17" width="15.69140625" style="266" customWidth="1"/>
    <col min="18" max="18" width="1.07421875" style="266" customWidth="1"/>
    <col min="19" max="19" width="15.69140625" style="266" customWidth="1"/>
    <col min="20" max="20" width="1.07421875" style="266" customWidth="1"/>
    <col min="21" max="21" width="15.69140625" style="266" customWidth="1"/>
    <col min="22" max="22" width="1.07421875" style="266" customWidth="1"/>
    <col min="23" max="23" width="15.69140625" style="133" customWidth="1"/>
    <col min="24" max="24" width="0.69140625" style="266" customWidth="1"/>
    <col min="25" max="25" width="15.69140625" style="133" customWidth="1"/>
    <col min="26" max="26" width="1.07421875" style="266" customWidth="1"/>
    <col min="27" max="27" width="15.69140625" style="266" customWidth="1"/>
    <col min="28" max="28" width="1" style="266" customWidth="1"/>
    <col min="29" max="29" width="15.69140625" style="266" customWidth="1"/>
    <col min="30" max="30" width="3.69140625" style="266" bestFit="1" customWidth="1"/>
    <col min="31" max="35" width="8.69140625" style="266"/>
    <col min="36" max="16384" width="8.69140625" style="301"/>
  </cols>
  <sheetData>
    <row r="1" spans="1:50">
      <c r="A1" s="397" t="s">
        <v>97</v>
      </c>
      <c r="D1" s="49"/>
      <c r="F1" s="49"/>
      <c r="H1" s="49"/>
      <c r="J1" s="49"/>
      <c r="N1" s="49"/>
      <c r="P1" s="49"/>
      <c r="R1" s="49"/>
      <c r="T1" s="49"/>
      <c r="V1" s="49"/>
    </row>
    <row r="2" spans="1:50" ht="16.5">
      <c r="A2" s="48"/>
      <c r="B2" s="49"/>
      <c r="C2" s="129"/>
      <c r="D2" s="49"/>
      <c r="E2" s="129"/>
      <c r="F2" s="49"/>
      <c r="G2" s="49"/>
      <c r="H2" s="49"/>
      <c r="I2" s="49"/>
      <c r="J2" s="49"/>
      <c r="K2" s="49"/>
      <c r="L2" s="49"/>
      <c r="M2" s="49"/>
      <c r="N2" s="49"/>
      <c r="O2" s="49"/>
      <c r="P2" s="49"/>
      <c r="Q2" s="49"/>
      <c r="R2" s="49"/>
      <c r="S2" s="49"/>
      <c r="T2" s="49"/>
      <c r="U2" s="49"/>
      <c r="V2" s="49"/>
      <c r="W2" s="129"/>
      <c r="X2" s="49"/>
      <c r="Y2" s="129"/>
      <c r="Z2" s="49"/>
      <c r="AA2" s="49"/>
      <c r="AB2" s="49"/>
      <c r="AC2" s="49"/>
    </row>
    <row r="3" spans="1:50" ht="18">
      <c r="A3" s="51" t="s">
        <v>98</v>
      </c>
      <c r="B3" s="30"/>
      <c r="C3" s="130"/>
      <c r="D3" s="30"/>
      <c r="E3" s="130"/>
      <c r="F3" s="30"/>
      <c r="G3" s="30"/>
      <c r="H3" s="30"/>
      <c r="I3" s="30"/>
      <c r="J3" s="30"/>
      <c r="K3" s="30"/>
      <c r="L3" s="30"/>
      <c r="M3" s="30"/>
      <c r="N3" s="30"/>
      <c r="O3" s="30"/>
      <c r="P3" s="30"/>
      <c r="Q3" s="30"/>
      <c r="R3" s="30"/>
      <c r="S3" s="30"/>
      <c r="T3" s="30"/>
      <c r="U3" s="362"/>
      <c r="V3" s="30"/>
      <c r="W3" s="362" t="s">
        <v>231</v>
      </c>
      <c r="X3" s="30"/>
      <c r="Y3" s="130"/>
      <c r="Z3" s="30"/>
      <c r="AA3" s="30"/>
      <c r="AB3" s="30"/>
      <c r="AC3" s="362"/>
    </row>
    <row r="4" spans="1:50" ht="18">
      <c r="A4" s="51" t="s">
        <v>288</v>
      </c>
      <c r="B4" s="30"/>
      <c r="C4" s="130"/>
      <c r="D4" s="30"/>
      <c r="E4" s="130"/>
      <c r="F4" s="30"/>
      <c r="G4" s="30"/>
      <c r="H4" s="30"/>
      <c r="I4" s="30"/>
      <c r="J4" s="30"/>
      <c r="K4" s="30"/>
      <c r="L4" s="30"/>
      <c r="M4" s="30"/>
      <c r="N4" s="30"/>
      <c r="O4" s="30"/>
      <c r="P4" s="30"/>
      <c r="Q4" s="30"/>
      <c r="R4" s="30"/>
      <c r="S4" s="30"/>
      <c r="T4" s="30"/>
      <c r="U4" s="363"/>
      <c r="V4" s="30"/>
      <c r="W4" s="363"/>
      <c r="X4" s="30"/>
      <c r="Y4" s="130"/>
      <c r="Z4" s="30"/>
      <c r="AA4" s="30"/>
      <c r="AB4" s="30"/>
      <c r="AC4" s="363"/>
    </row>
    <row r="5" spans="1:50" ht="18">
      <c r="A5" s="2121" t="str">
        <f>'Exh D Governmental  '!A5</f>
        <v>FISCAL YEAR 2024-2025</v>
      </c>
      <c r="B5" s="2120"/>
      <c r="C5" s="2120"/>
      <c r="D5" s="2120"/>
      <c r="E5" s="2120"/>
      <c r="F5" s="30"/>
      <c r="G5" s="30"/>
      <c r="H5" s="30"/>
      <c r="I5" s="30"/>
      <c r="J5" s="30"/>
      <c r="K5" s="30"/>
      <c r="L5" s="30"/>
      <c r="M5" s="30"/>
      <c r="N5" s="30"/>
      <c r="O5" s="30"/>
      <c r="P5" s="30"/>
      <c r="Q5" s="30"/>
      <c r="R5" s="30"/>
      <c r="S5" s="30"/>
      <c r="T5" s="30"/>
      <c r="U5" s="30"/>
      <c r="V5" s="30"/>
      <c r="W5" s="130"/>
      <c r="X5" s="30"/>
      <c r="Y5" s="130"/>
      <c r="Z5" s="30"/>
      <c r="AA5" s="30"/>
      <c r="AB5" s="30"/>
      <c r="AC5" s="30"/>
    </row>
    <row r="6" spans="1:50" ht="18">
      <c r="A6" s="551" t="str">
        <f>'Exh D Governmental  '!A6</f>
        <v>FOR ELEVEN MONTHS ENDED FEBRUARY 28, 2025</v>
      </c>
      <c r="B6" s="30"/>
      <c r="C6" s="130"/>
      <c r="D6" s="30"/>
      <c r="E6" s="130"/>
      <c r="F6" s="30"/>
      <c r="G6" s="30"/>
      <c r="H6" s="30"/>
      <c r="I6" s="30"/>
      <c r="J6" s="30"/>
      <c r="K6" s="30"/>
      <c r="L6" s="30"/>
      <c r="M6" s="30"/>
      <c r="N6" s="30"/>
      <c r="O6" s="30"/>
      <c r="P6" s="30"/>
      <c r="Q6" s="30"/>
      <c r="R6" s="30"/>
      <c r="S6" s="30"/>
      <c r="T6" s="30"/>
      <c r="U6" s="30"/>
      <c r="V6" s="30"/>
      <c r="W6" s="130"/>
      <c r="X6" s="30"/>
      <c r="Y6" s="130"/>
      <c r="Z6" s="30"/>
      <c r="AA6" s="30"/>
      <c r="AB6" s="30"/>
      <c r="AC6" s="30"/>
      <c r="AD6" s="30"/>
      <c r="AE6" s="30"/>
      <c r="AF6" s="30"/>
      <c r="AG6" s="30"/>
      <c r="AH6" s="30"/>
      <c r="AI6" s="30"/>
      <c r="AJ6" s="30"/>
      <c r="AK6" s="30"/>
      <c r="AL6" s="30"/>
      <c r="AM6" s="30"/>
      <c r="AN6" s="30"/>
      <c r="AO6" s="30"/>
      <c r="AP6" s="30"/>
      <c r="AQ6" s="30"/>
      <c r="AR6" s="30"/>
      <c r="AS6" s="266"/>
      <c r="AT6" s="266"/>
      <c r="AU6" s="266"/>
      <c r="AV6" s="266"/>
      <c r="AW6" s="266"/>
      <c r="AX6" s="266"/>
    </row>
    <row r="7" spans="1:50" ht="18">
      <c r="A7" s="51" t="s">
        <v>233</v>
      </c>
      <c r="B7" s="30"/>
      <c r="C7" s="130"/>
      <c r="D7" s="30"/>
      <c r="E7" s="130"/>
      <c r="F7" s="30"/>
      <c r="G7" s="30"/>
      <c r="H7" s="30"/>
      <c r="I7" s="30"/>
      <c r="J7" s="30"/>
      <c r="K7" s="30"/>
      <c r="L7" s="30"/>
      <c r="M7" s="30"/>
      <c r="N7" s="30"/>
      <c r="O7" s="30"/>
      <c r="P7" s="30"/>
      <c r="Q7" s="30"/>
      <c r="R7" s="30"/>
      <c r="S7" s="30"/>
      <c r="T7" s="30"/>
      <c r="U7" s="30"/>
      <c r="V7" s="30"/>
      <c r="W7" s="130"/>
      <c r="X7" s="30"/>
      <c r="Y7" s="130"/>
      <c r="Z7" s="30"/>
      <c r="AA7" s="30"/>
      <c r="AB7" s="30"/>
      <c r="AC7" s="30"/>
    </row>
    <row r="8" spans="1:50" ht="17.5">
      <c r="A8" s="34"/>
      <c r="B8" s="30"/>
      <c r="C8" s="130"/>
      <c r="D8" s="30"/>
      <c r="E8" s="130"/>
      <c r="F8" s="30"/>
      <c r="G8" s="30"/>
      <c r="H8" s="30"/>
      <c r="I8" s="30"/>
      <c r="J8" s="30"/>
      <c r="K8" s="30"/>
      <c r="L8" s="30"/>
      <c r="M8" s="30"/>
      <c r="N8" s="30"/>
      <c r="O8" s="30"/>
      <c r="P8" s="30"/>
      <c r="Q8" s="30"/>
      <c r="R8" s="30"/>
      <c r="S8" s="30"/>
      <c r="T8" s="30"/>
      <c r="U8" s="30"/>
      <c r="V8" s="30"/>
      <c r="W8" s="130"/>
      <c r="X8" s="30"/>
      <c r="Y8" s="130"/>
      <c r="Z8" s="30"/>
      <c r="AA8" s="30"/>
      <c r="AB8" s="30"/>
      <c r="AC8" s="30"/>
    </row>
    <row r="9" spans="1:50">
      <c r="A9" s="35"/>
      <c r="B9" s="30"/>
      <c r="C9" s="130"/>
      <c r="D9" s="30"/>
      <c r="E9" s="130"/>
      <c r="F9" s="30"/>
      <c r="G9" s="30"/>
      <c r="H9" s="30"/>
      <c r="I9" s="30"/>
      <c r="J9" s="30"/>
      <c r="K9" s="30"/>
      <c r="L9" s="30"/>
      <c r="M9" s="30"/>
      <c r="N9" s="30"/>
      <c r="O9" s="30"/>
      <c r="P9" s="30"/>
      <c r="Q9" s="30"/>
      <c r="R9" s="30"/>
      <c r="S9" s="30"/>
      <c r="T9" s="30"/>
      <c r="U9" s="30"/>
      <c r="V9" s="30"/>
      <c r="W9" s="130"/>
      <c r="X9" s="30"/>
      <c r="Y9" s="130"/>
      <c r="Z9" s="30"/>
      <c r="AA9" s="30"/>
      <c r="AB9" s="30"/>
      <c r="AC9" s="30"/>
    </row>
    <row r="10" spans="1:50">
      <c r="A10" s="35"/>
      <c r="B10" s="30"/>
      <c r="C10" s="130"/>
      <c r="D10" s="30"/>
      <c r="E10" s="130"/>
      <c r="F10" s="30"/>
      <c r="G10" s="30"/>
      <c r="H10" s="30"/>
      <c r="I10" s="30"/>
      <c r="J10" s="30"/>
      <c r="K10" s="30"/>
      <c r="L10" s="30"/>
      <c r="M10" s="30"/>
      <c r="N10" s="30"/>
      <c r="O10" s="130"/>
      <c r="P10" s="30"/>
      <c r="Q10" s="130"/>
      <c r="R10" s="30"/>
      <c r="S10" s="30"/>
      <c r="T10" s="30"/>
      <c r="U10" s="30"/>
      <c r="V10" s="30"/>
      <c r="W10" s="130"/>
      <c r="X10" s="30"/>
      <c r="Y10" s="130"/>
      <c r="Z10" s="30"/>
      <c r="AA10" s="30"/>
      <c r="AB10" s="30"/>
      <c r="AC10" s="30"/>
    </row>
    <row r="11" spans="1:50">
      <c r="B11" s="36"/>
      <c r="C11" s="2115" t="s">
        <v>289</v>
      </c>
      <c r="D11" s="2115"/>
      <c r="E11" s="2115"/>
      <c r="F11" s="2115"/>
      <c r="G11" s="2115"/>
      <c r="H11" s="2115"/>
      <c r="I11" s="2115"/>
      <c r="J11" s="1249"/>
      <c r="K11" s="1249"/>
      <c r="L11" s="55"/>
      <c r="M11" s="55"/>
      <c r="N11" s="53"/>
      <c r="O11" s="2115" t="s">
        <v>290</v>
      </c>
      <c r="P11" s="2115"/>
      <c r="Q11" s="2115"/>
      <c r="R11" s="2115"/>
      <c r="S11" s="2115"/>
      <c r="T11" s="2115"/>
      <c r="U11" s="2115"/>
      <c r="V11" s="1033"/>
      <c r="W11" s="1249"/>
      <c r="X11" s="1249"/>
      <c r="Y11" s="55"/>
      <c r="Z11" s="55"/>
      <c r="AA11" s="55"/>
      <c r="AB11" s="55"/>
      <c r="AC11" s="55"/>
    </row>
    <row r="12" spans="1:50">
      <c r="B12" s="36"/>
      <c r="C12" s="132"/>
      <c r="D12" s="55"/>
      <c r="E12" s="132"/>
      <c r="F12" s="55"/>
      <c r="G12" s="36"/>
      <c r="H12" s="55"/>
      <c r="I12" s="55" t="s">
        <v>235</v>
      </c>
      <c r="J12" s="55"/>
      <c r="K12" s="55" t="s">
        <v>235</v>
      </c>
      <c r="L12" s="55"/>
      <c r="M12" s="1604"/>
      <c r="N12" s="55"/>
      <c r="O12" s="132"/>
      <c r="P12" s="55"/>
      <c r="Q12" s="132"/>
      <c r="R12" s="55"/>
      <c r="S12" s="36"/>
      <c r="T12" s="55"/>
      <c r="U12" s="55" t="s">
        <v>235</v>
      </c>
      <c r="V12" s="55"/>
      <c r="W12" s="55" t="s">
        <v>235</v>
      </c>
      <c r="X12" s="36"/>
      <c r="Y12" s="132"/>
      <c r="Z12" s="36"/>
      <c r="AA12" s="36"/>
      <c r="AB12" s="36"/>
      <c r="AC12" s="55"/>
    </row>
    <row r="13" spans="1:50">
      <c r="B13" s="36"/>
      <c r="C13" s="132"/>
      <c r="D13" s="36"/>
      <c r="E13" s="132"/>
      <c r="F13" s="36"/>
      <c r="G13" s="36"/>
      <c r="H13" s="36"/>
      <c r="I13" s="37" t="s">
        <v>236</v>
      </c>
      <c r="J13" s="36"/>
      <c r="K13" s="37" t="s">
        <v>236</v>
      </c>
      <c r="L13" s="37"/>
      <c r="M13" s="1605"/>
      <c r="N13" s="36"/>
      <c r="O13" s="132"/>
      <c r="P13" s="36"/>
      <c r="Q13" s="132"/>
      <c r="R13" s="36"/>
      <c r="S13" s="36"/>
      <c r="T13" s="36"/>
      <c r="U13" s="37" t="s">
        <v>236</v>
      </c>
      <c r="V13" s="36"/>
      <c r="W13" s="37" t="s">
        <v>236</v>
      </c>
      <c r="X13" s="36"/>
      <c r="Y13" s="132"/>
      <c r="Z13" s="36"/>
      <c r="AA13" s="36"/>
      <c r="AB13" s="36"/>
      <c r="AC13" s="37"/>
    </row>
    <row r="14" spans="1:50" ht="15.75" customHeight="1">
      <c r="B14" s="36"/>
      <c r="C14" s="38" t="s">
        <v>238</v>
      </c>
      <c r="D14" s="36"/>
      <c r="E14" s="38" t="s">
        <v>239</v>
      </c>
      <c r="F14" s="36"/>
      <c r="G14" s="36"/>
      <c r="H14" s="36"/>
      <c r="I14" s="37" t="s">
        <v>240</v>
      </c>
      <c r="J14" s="36"/>
      <c r="K14" s="37" t="s">
        <v>240</v>
      </c>
      <c r="L14" s="37"/>
      <c r="M14" s="1605"/>
      <c r="N14" s="36"/>
      <c r="O14" s="38" t="s">
        <v>238</v>
      </c>
      <c r="P14" s="36"/>
      <c r="Q14" s="38" t="s">
        <v>239</v>
      </c>
      <c r="R14" s="36"/>
      <c r="S14" s="36"/>
      <c r="T14" s="36"/>
      <c r="U14" s="37" t="s">
        <v>240</v>
      </c>
      <c r="V14" s="36"/>
      <c r="W14" s="37" t="s">
        <v>240</v>
      </c>
      <c r="X14" s="301"/>
      <c r="Y14" s="38"/>
      <c r="Z14" s="36"/>
      <c r="AA14" s="36"/>
      <c r="AB14" s="36"/>
      <c r="AC14" s="37"/>
    </row>
    <row r="15" spans="1:50" ht="15.75" customHeight="1">
      <c r="B15" s="36"/>
      <c r="C15" s="37" t="s">
        <v>241</v>
      </c>
      <c r="D15" s="36"/>
      <c r="E15" s="37" t="s">
        <v>241</v>
      </c>
      <c r="F15" s="36"/>
      <c r="G15" s="36"/>
      <c r="H15" s="36"/>
      <c r="I15" s="37" t="s">
        <v>238</v>
      </c>
      <c r="J15" s="36"/>
      <c r="K15" s="38" t="s">
        <v>239</v>
      </c>
      <c r="L15" s="38"/>
      <c r="M15" s="1609"/>
      <c r="N15" s="36"/>
      <c r="O15" s="37" t="s">
        <v>241</v>
      </c>
      <c r="P15" s="36"/>
      <c r="Q15" s="37" t="s">
        <v>241</v>
      </c>
      <c r="R15" s="36"/>
      <c r="S15" s="36"/>
      <c r="T15" s="36"/>
      <c r="U15" s="37" t="s">
        <v>238</v>
      </c>
      <c r="V15" s="36"/>
      <c r="W15" s="38" t="s">
        <v>239</v>
      </c>
      <c r="X15" s="36"/>
      <c r="Y15" s="37"/>
      <c r="Z15" s="36"/>
      <c r="AA15" s="36"/>
      <c r="AB15" s="36"/>
      <c r="AC15" s="38"/>
    </row>
    <row r="16" spans="1:50">
      <c r="B16" s="36"/>
      <c r="C16" s="37" t="s">
        <v>242</v>
      </c>
      <c r="D16" s="36"/>
      <c r="E16" s="37" t="s">
        <v>1522</v>
      </c>
      <c r="F16" s="36"/>
      <c r="G16" s="38" t="s">
        <v>235</v>
      </c>
      <c r="H16" s="36"/>
      <c r="I16" s="37" t="s">
        <v>243</v>
      </c>
      <c r="J16" s="36"/>
      <c r="K16" s="37" t="s">
        <v>243</v>
      </c>
      <c r="L16" s="37"/>
      <c r="M16" s="1605"/>
      <c r="N16" s="36"/>
      <c r="O16" s="37" t="s">
        <v>242</v>
      </c>
      <c r="P16" s="36"/>
      <c r="Q16" s="37" t="s">
        <v>1522</v>
      </c>
      <c r="R16" s="36"/>
      <c r="S16" s="38" t="s">
        <v>235</v>
      </c>
      <c r="T16" s="36"/>
      <c r="U16" s="37" t="s">
        <v>243</v>
      </c>
      <c r="V16" s="36"/>
      <c r="W16" s="37" t="s">
        <v>243</v>
      </c>
      <c r="X16" s="36"/>
      <c r="Y16" s="37"/>
      <c r="Z16" s="36"/>
      <c r="AA16" s="38"/>
      <c r="AB16" s="36"/>
      <c r="AC16" s="37"/>
    </row>
    <row r="17" spans="1:50">
      <c r="A17" s="39"/>
      <c r="B17" s="30"/>
      <c r="C17" s="1032"/>
      <c r="D17" s="30"/>
      <c r="E17" s="1032"/>
      <c r="F17" s="30"/>
      <c r="G17" s="1032"/>
      <c r="H17" s="30"/>
      <c r="I17" s="1032"/>
      <c r="J17" s="30"/>
      <c r="K17" s="1032"/>
      <c r="L17" s="30"/>
      <c r="M17" s="1606"/>
      <c r="N17" s="30"/>
      <c r="O17" s="1032"/>
      <c r="P17" s="30"/>
      <c r="Q17" s="1032"/>
      <c r="R17" s="30"/>
      <c r="S17" s="1032"/>
      <c r="T17" s="30"/>
      <c r="U17" s="1032"/>
      <c r="V17" s="30"/>
      <c r="W17" s="1032"/>
      <c r="X17" s="30"/>
      <c r="Y17" s="30"/>
      <c r="Z17" s="30"/>
      <c r="AA17" s="30"/>
      <c r="AB17" s="30"/>
      <c r="AC17" s="30"/>
    </row>
    <row r="18" spans="1:50">
      <c r="A18" s="3" t="s">
        <v>114</v>
      </c>
      <c r="C18" s="266"/>
      <c r="E18" s="266"/>
      <c r="G18" s="278" t="s">
        <v>103</v>
      </c>
      <c r="M18" s="1607"/>
      <c r="S18" s="266" t="s">
        <v>103</v>
      </c>
      <c r="W18" s="266"/>
      <c r="Y18" s="266"/>
    </row>
    <row r="19" spans="1:50">
      <c r="A19" s="360" t="s">
        <v>244</v>
      </c>
      <c r="B19" s="389" t="s">
        <v>103</v>
      </c>
      <c r="C19" s="284"/>
      <c r="D19" s="389"/>
      <c r="E19" s="284"/>
      <c r="F19" s="389"/>
      <c r="G19" s="284"/>
      <c r="H19" s="389"/>
      <c r="I19" s="284"/>
      <c r="J19" s="389"/>
      <c r="K19" s="284"/>
      <c r="L19" s="284"/>
      <c r="M19" s="1576"/>
      <c r="N19" s="389"/>
      <c r="O19" s="284"/>
      <c r="P19" s="389"/>
      <c r="Q19" s="284"/>
      <c r="R19" s="389"/>
      <c r="S19" s="400"/>
      <c r="T19" s="389"/>
      <c r="U19" s="284"/>
      <c r="V19" s="389"/>
      <c r="W19" s="284"/>
      <c r="X19" s="284"/>
      <c r="Y19" s="284"/>
      <c r="Z19" s="284"/>
      <c r="AA19" s="400"/>
      <c r="AB19" s="286"/>
      <c r="AC19" s="284"/>
      <c r="AJ19" s="266"/>
      <c r="AK19" s="266"/>
      <c r="AL19" s="266"/>
      <c r="AM19" s="266"/>
      <c r="AN19" s="266"/>
      <c r="AO19" s="266"/>
      <c r="AP19" s="266"/>
      <c r="AQ19" s="266"/>
      <c r="AR19" s="266"/>
      <c r="AS19" s="266"/>
      <c r="AT19" s="266"/>
      <c r="AU19" s="266"/>
      <c r="AV19" s="266"/>
      <c r="AW19" s="266"/>
      <c r="AX19" s="266"/>
    </row>
    <row r="20" spans="1:50">
      <c r="A20" s="360" t="s">
        <v>246</v>
      </c>
      <c r="B20" s="266" t="s">
        <v>103</v>
      </c>
      <c r="C20" s="398">
        <v>568</v>
      </c>
      <c r="D20" s="1885"/>
      <c r="E20" s="398">
        <v>570</v>
      </c>
      <c r="F20" s="286"/>
      <c r="G20" s="398">
        <f>'Exhibit I State'!AD21</f>
        <v>569.4</v>
      </c>
      <c r="H20" s="286"/>
      <c r="I20" s="284">
        <f>G20-C20</f>
        <v>1.3999999999999773</v>
      </c>
      <c r="J20" s="286"/>
      <c r="K20" s="284">
        <f>G20-E20</f>
        <v>-0.60000000000002274</v>
      </c>
      <c r="L20" s="284"/>
      <c r="M20" s="1576"/>
      <c r="N20" s="286"/>
      <c r="O20" s="398">
        <v>0</v>
      </c>
      <c r="P20" s="1885"/>
      <c r="Q20" s="398">
        <v>0</v>
      </c>
      <c r="R20" s="286"/>
      <c r="S20" s="398">
        <v>0</v>
      </c>
      <c r="T20" s="286"/>
      <c r="U20" s="284">
        <f>S20-O20</f>
        <v>0</v>
      </c>
      <c r="V20" s="286"/>
      <c r="W20" s="284">
        <f>S20-Q20</f>
        <v>0</v>
      </c>
      <c r="X20" s="287"/>
      <c r="Y20" s="1596"/>
      <c r="Z20" s="287"/>
      <c r="AA20" s="1590"/>
      <c r="AB20" s="287"/>
      <c r="AC20" s="284"/>
      <c r="AJ20" s="266"/>
      <c r="AK20" s="266"/>
      <c r="AL20" s="266"/>
      <c r="AM20" s="266"/>
      <c r="AN20" s="266"/>
      <c r="AO20" s="266"/>
      <c r="AP20" s="266"/>
      <c r="AQ20" s="266"/>
      <c r="AR20" s="266"/>
      <c r="AS20" s="266"/>
      <c r="AT20" s="266"/>
      <c r="AU20" s="266"/>
      <c r="AV20" s="266"/>
      <c r="AW20" s="266"/>
      <c r="AX20" s="266"/>
    </row>
    <row r="21" spans="1:50">
      <c r="A21" s="360" t="s">
        <v>247</v>
      </c>
      <c r="B21" s="389" t="s">
        <v>103</v>
      </c>
      <c r="C21" s="285">
        <v>551</v>
      </c>
      <c r="D21" s="377"/>
      <c r="E21" s="285">
        <v>558</v>
      </c>
      <c r="F21" s="274"/>
      <c r="G21" s="298">
        <f>'Exhibit I State'!AD26</f>
        <v>559.4</v>
      </c>
      <c r="H21" s="274"/>
      <c r="I21" s="274">
        <f>G21-C21</f>
        <v>8.3999999999999773</v>
      </c>
      <c r="J21" s="274"/>
      <c r="K21" s="274">
        <f t="shared" ref="K21:K26" si="0">G21-E21</f>
        <v>1.3999999999999773</v>
      </c>
      <c r="L21" s="274"/>
      <c r="M21" s="1017"/>
      <c r="N21" s="274"/>
      <c r="O21" s="285">
        <v>0</v>
      </c>
      <c r="P21" s="377"/>
      <c r="Q21" s="285">
        <v>0</v>
      </c>
      <c r="R21" s="274"/>
      <c r="S21" s="298">
        <v>0</v>
      </c>
      <c r="T21" s="274"/>
      <c r="U21" s="274">
        <f t="shared" ref="U21:U26" si="1">ROUND(SUM(S21)-SUM(O21),1)</f>
        <v>0</v>
      </c>
      <c r="V21" s="274"/>
      <c r="W21" s="274">
        <f t="shared" ref="W21:W26" si="2">S21-Q21</f>
        <v>0</v>
      </c>
      <c r="X21" s="285"/>
      <c r="Y21" s="1596"/>
      <c r="Z21" s="285"/>
      <c r="AA21" s="1590"/>
      <c r="AB21" s="285"/>
      <c r="AC21" s="274"/>
      <c r="AD21" s="389"/>
      <c r="AG21" s="389"/>
      <c r="AI21" s="389"/>
      <c r="AJ21" s="266"/>
      <c r="AK21" s="266"/>
      <c r="AL21" s="389"/>
      <c r="AM21" s="266"/>
      <c r="AN21" s="266"/>
      <c r="AO21" s="389"/>
      <c r="AP21" s="58"/>
      <c r="AQ21" s="389"/>
      <c r="AR21" s="266"/>
      <c r="AS21" s="266"/>
      <c r="AT21" s="266"/>
      <c r="AU21" s="266"/>
      <c r="AV21" s="266"/>
      <c r="AW21" s="266"/>
      <c r="AX21" s="266"/>
    </row>
    <row r="22" spans="1:50">
      <c r="A22" s="360" t="s">
        <v>248</v>
      </c>
      <c r="B22" s="266" t="s">
        <v>103</v>
      </c>
      <c r="C22" s="285">
        <v>234</v>
      </c>
      <c r="D22" s="1885"/>
      <c r="E22" s="285">
        <v>232</v>
      </c>
      <c r="F22" s="297"/>
      <c r="G22" s="298">
        <f>'Exhibit I State'!AD29</f>
        <v>231.6</v>
      </c>
      <c r="H22" s="297"/>
      <c r="I22" s="274">
        <f t="shared" ref="I22:I26" si="3">G22-C22</f>
        <v>-2.4000000000000057</v>
      </c>
      <c r="J22" s="297"/>
      <c r="K22" s="274">
        <f t="shared" si="0"/>
        <v>-0.40000000000000568</v>
      </c>
      <c r="L22" s="274"/>
      <c r="M22" s="1017"/>
      <c r="N22" s="297"/>
      <c r="O22" s="285">
        <v>0</v>
      </c>
      <c r="P22" s="1885"/>
      <c r="Q22" s="285">
        <v>0</v>
      </c>
      <c r="R22" s="297"/>
      <c r="S22" s="298">
        <v>0</v>
      </c>
      <c r="T22" s="297"/>
      <c r="U22" s="274">
        <f t="shared" si="1"/>
        <v>0</v>
      </c>
      <c r="V22" s="297"/>
      <c r="W22" s="274">
        <f t="shared" si="2"/>
        <v>0</v>
      </c>
      <c r="X22" s="285"/>
      <c r="Y22" s="1596"/>
      <c r="Z22" s="285"/>
      <c r="AA22" s="1590"/>
      <c r="AB22" s="285"/>
      <c r="AC22" s="274"/>
      <c r="AJ22" s="266"/>
      <c r="AK22" s="266"/>
      <c r="AL22" s="266"/>
      <c r="AM22" s="266"/>
      <c r="AN22" s="266"/>
      <c r="AO22" s="266"/>
      <c r="AP22" s="266"/>
      <c r="AQ22" s="266"/>
      <c r="AR22" s="266"/>
      <c r="AS22" s="266"/>
      <c r="AT22" s="266"/>
      <c r="AU22" s="266"/>
      <c r="AV22" s="266"/>
      <c r="AW22" s="266"/>
      <c r="AX22" s="266"/>
    </row>
    <row r="23" spans="1:50">
      <c r="A23" s="360" t="s">
        <v>119</v>
      </c>
      <c r="B23" s="266" t="s">
        <v>103</v>
      </c>
      <c r="C23" s="285">
        <v>4731</v>
      </c>
      <c r="D23" s="1886"/>
      <c r="E23" s="285">
        <v>3919</v>
      </c>
      <c r="F23" s="1229"/>
      <c r="G23" s="298">
        <f>'Exhibit I State'!AD59</f>
        <v>3685.7</v>
      </c>
      <c r="H23" s="1229"/>
      <c r="I23" s="274">
        <f t="shared" si="3"/>
        <v>-1045.3000000000002</v>
      </c>
      <c r="J23" s="1229"/>
      <c r="K23" s="274">
        <f t="shared" si="0"/>
        <v>-233.30000000000018</v>
      </c>
      <c r="L23" s="274"/>
      <c r="M23" s="1017"/>
      <c r="N23" s="1608"/>
      <c r="O23" s="285">
        <v>220</v>
      </c>
      <c r="P23" s="1886"/>
      <c r="Q23" s="285">
        <v>162</v>
      </c>
      <c r="R23" s="1229"/>
      <c r="S23" s="274">
        <f>'Exhibit I Federal'!AD41</f>
        <v>0.2</v>
      </c>
      <c r="T23" s="1229"/>
      <c r="U23" s="274">
        <f t="shared" si="1"/>
        <v>-219.8</v>
      </c>
      <c r="V23" s="1229"/>
      <c r="W23" s="274">
        <f t="shared" si="2"/>
        <v>-161.80000000000001</v>
      </c>
      <c r="X23" s="274"/>
      <c r="Y23" s="1596"/>
      <c r="Z23" s="274"/>
      <c r="AA23" s="1590"/>
      <c r="AB23" s="274"/>
      <c r="AC23" s="274"/>
    </row>
    <row r="24" spans="1:50">
      <c r="A24" s="360" t="s">
        <v>120</v>
      </c>
      <c r="B24" s="266" t="s">
        <v>103</v>
      </c>
      <c r="C24" s="285">
        <v>4</v>
      </c>
      <c r="D24" s="1885"/>
      <c r="E24" s="285">
        <v>3</v>
      </c>
      <c r="F24" s="274"/>
      <c r="G24" s="298">
        <f>'Exhibit I State'!AD61</f>
        <v>2.1</v>
      </c>
      <c r="H24" s="274"/>
      <c r="I24" s="274">
        <f t="shared" si="3"/>
        <v>-1.9</v>
      </c>
      <c r="J24" s="274"/>
      <c r="K24" s="274">
        <f t="shared" si="0"/>
        <v>-0.89999999999999991</v>
      </c>
      <c r="L24" s="274"/>
      <c r="M24" s="1017"/>
      <c r="N24" s="274"/>
      <c r="O24" s="285">
        <v>2717</v>
      </c>
      <c r="P24" s="1885"/>
      <c r="Q24" s="285">
        <v>2691</v>
      </c>
      <c r="R24" s="274"/>
      <c r="S24" s="274">
        <f>'Exhibit I Federal'!AD43</f>
        <v>2644.5</v>
      </c>
      <c r="T24" s="274"/>
      <c r="U24" s="274">
        <f t="shared" si="1"/>
        <v>-72.5</v>
      </c>
      <c r="V24" s="274"/>
      <c r="W24" s="274">
        <f t="shared" si="2"/>
        <v>-46.5</v>
      </c>
      <c r="X24" s="274"/>
      <c r="Y24" s="1596"/>
      <c r="Z24" s="274"/>
      <c r="AA24" s="1590"/>
      <c r="AB24" s="274"/>
      <c r="AC24" s="274"/>
    </row>
    <row r="25" spans="1:50">
      <c r="A25" s="360" t="s">
        <v>254</v>
      </c>
      <c r="B25" s="266" t="s">
        <v>103</v>
      </c>
      <c r="C25" s="285">
        <v>0</v>
      </c>
      <c r="D25" s="1885"/>
      <c r="E25" s="285">
        <v>0</v>
      </c>
      <c r="F25" s="274"/>
      <c r="G25" s="298">
        <f>'Exhibit I State'!AD90</f>
        <v>0</v>
      </c>
      <c r="H25" s="274"/>
      <c r="I25" s="274">
        <f t="shared" si="3"/>
        <v>0</v>
      </c>
      <c r="J25" s="274"/>
      <c r="K25" s="274">
        <f t="shared" si="0"/>
        <v>0</v>
      </c>
      <c r="L25" s="274"/>
      <c r="M25" s="1017"/>
      <c r="N25" s="274"/>
      <c r="O25" s="285">
        <v>0</v>
      </c>
      <c r="P25" s="1885"/>
      <c r="Q25" s="285">
        <v>0</v>
      </c>
      <c r="R25" s="274"/>
      <c r="S25" s="285">
        <v>0</v>
      </c>
      <c r="T25" s="274"/>
      <c r="U25" s="274">
        <f t="shared" si="1"/>
        <v>0</v>
      </c>
      <c r="V25" s="274"/>
      <c r="W25" s="274">
        <f t="shared" si="2"/>
        <v>0</v>
      </c>
      <c r="X25" s="274"/>
      <c r="Y25" s="1596"/>
      <c r="Z25" s="274"/>
      <c r="AA25" s="1590"/>
      <c r="AB25" s="274"/>
      <c r="AC25" s="274"/>
    </row>
    <row r="26" spans="1:50">
      <c r="A26" s="360" t="s">
        <v>147</v>
      </c>
      <c r="B26" s="266" t="s">
        <v>103</v>
      </c>
      <c r="C26" s="285">
        <v>7634</v>
      </c>
      <c r="D26" s="1885"/>
      <c r="E26" s="285">
        <v>7130</v>
      </c>
      <c r="F26" s="13"/>
      <c r="G26" s="297">
        <f>'Exhibit I State'!AD91</f>
        <v>6439</v>
      </c>
      <c r="H26" s="13"/>
      <c r="I26" s="274">
        <f t="shared" si="3"/>
        <v>-1195</v>
      </c>
      <c r="J26" s="13"/>
      <c r="K26" s="274">
        <f t="shared" si="0"/>
        <v>-691</v>
      </c>
      <c r="L26" s="274"/>
      <c r="M26" s="1017"/>
      <c r="N26" s="13"/>
      <c r="O26" s="285">
        <v>12</v>
      </c>
      <c r="P26" s="1885"/>
      <c r="Q26" s="285">
        <v>25</v>
      </c>
      <c r="R26" s="13"/>
      <c r="S26" s="297">
        <f>'Exhibit I Federal'!AD72</f>
        <v>24.8</v>
      </c>
      <c r="T26" s="13"/>
      <c r="U26" s="274">
        <f t="shared" si="1"/>
        <v>12.8</v>
      </c>
      <c r="V26" s="13"/>
      <c r="W26" s="274">
        <f t="shared" si="2"/>
        <v>-0.19999999999999929</v>
      </c>
      <c r="X26" s="274"/>
      <c r="Y26" s="1596"/>
      <c r="Z26" s="274"/>
      <c r="AA26" s="1590"/>
      <c r="AB26" s="274"/>
      <c r="AC26" s="274"/>
    </row>
    <row r="27" spans="1:50" ht="18" customHeight="1">
      <c r="A27" s="1248" t="s">
        <v>268</v>
      </c>
      <c r="B27" s="36" t="s">
        <v>103</v>
      </c>
      <c r="C27" s="631">
        <f>ROUND(SUM(C20:C26),1)</f>
        <v>13722</v>
      </c>
      <c r="D27" s="274"/>
      <c r="E27" s="631">
        <f>ROUND(SUM(E20:E26),1)</f>
        <v>12412</v>
      </c>
      <c r="F27" s="274"/>
      <c r="G27" s="631">
        <f>ROUND(SUM(G20:G26),1)</f>
        <v>11487.2</v>
      </c>
      <c r="H27" s="274"/>
      <c r="I27" s="631">
        <f>ROUND(SUM(I20:I26),1)</f>
        <v>-2234.8000000000002</v>
      </c>
      <c r="J27" s="274"/>
      <c r="K27" s="631">
        <f>ROUND(SUM(K20:K26),1)</f>
        <v>-924.8</v>
      </c>
      <c r="L27" s="13"/>
      <c r="M27" s="1578"/>
      <c r="N27" s="274"/>
      <c r="O27" s="631">
        <f>ROUND(SUM(O20:O26),1)</f>
        <v>2949</v>
      </c>
      <c r="P27" s="274"/>
      <c r="Q27" s="631">
        <f>ROUND(SUM(Q20:Q26),1)</f>
        <v>2878</v>
      </c>
      <c r="R27" s="274"/>
      <c r="S27" s="631">
        <f>ROUND(SUM(S20:S26),1)</f>
        <v>2669.5</v>
      </c>
      <c r="T27" s="274"/>
      <c r="U27" s="631">
        <f>ROUND(SUM(U20:U26),1)</f>
        <v>-279.5</v>
      </c>
      <c r="V27" s="274"/>
      <c r="W27" s="631">
        <f>ROUND(SUM(W20:W26),1)</f>
        <v>-208.5</v>
      </c>
      <c r="X27" s="13"/>
      <c r="Y27" s="1597"/>
      <c r="Z27" s="13"/>
      <c r="AA27" s="1591"/>
      <c r="AB27" s="13"/>
      <c r="AC27" s="13"/>
    </row>
    <row r="28" spans="1:50">
      <c r="B28" s="266" t="s">
        <v>103</v>
      </c>
      <c r="C28" s="629"/>
      <c r="D28" s="274"/>
      <c r="E28" s="629"/>
      <c r="F28" s="274"/>
      <c r="G28" s="629"/>
      <c r="H28" s="274"/>
      <c r="I28" s="629"/>
      <c r="J28" s="274"/>
      <c r="K28" s="629"/>
      <c r="L28" s="274"/>
      <c r="M28" s="1017"/>
      <c r="N28" s="274"/>
      <c r="O28" s="629"/>
      <c r="P28" s="274"/>
      <c r="Q28" s="629"/>
      <c r="R28" s="274"/>
      <c r="S28" s="629"/>
      <c r="T28" s="274"/>
      <c r="U28" s="629" t="s">
        <v>103</v>
      </c>
      <c r="V28" s="274"/>
      <c r="W28" s="629"/>
      <c r="X28" s="274"/>
      <c r="Y28" s="1567"/>
      <c r="Z28" s="274"/>
      <c r="AA28" s="1589"/>
      <c r="AB28" s="274"/>
      <c r="AC28" s="274"/>
    </row>
    <row r="29" spans="1:50">
      <c r="A29" s="3" t="s">
        <v>122</v>
      </c>
      <c r="B29" s="266" t="s">
        <v>103</v>
      </c>
      <c r="C29" s="274"/>
      <c r="D29" s="274"/>
      <c r="E29" s="274"/>
      <c r="F29" s="274"/>
      <c r="G29" s="274"/>
      <c r="H29" s="274"/>
      <c r="I29" s="274"/>
      <c r="J29" s="274"/>
      <c r="K29" s="274"/>
      <c r="L29" s="274"/>
      <c r="M29" s="1017"/>
      <c r="N29" s="274"/>
      <c r="O29" s="274"/>
      <c r="P29" s="274"/>
      <c r="Q29" s="274"/>
      <c r="R29" s="274"/>
      <c r="S29" s="274"/>
      <c r="T29" s="274"/>
      <c r="U29" s="274"/>
      <c r="V29" s="274"/>
      <c r="W29" s="274"/>
      <c r="X29" s="274"/>
      <c r="Y29" s="1567"/>
      <c r="Z29" s="274"/>
      <c r="AA29" s="1589"/>
      <c r="AB29" s="274"/>
      <c r="AC29" s="274"/>
    </row>
    <row r="30" spans="1:50">
      <c r="A30" s="360" t="s">
        <v>250</v>
      </c>
      <c r="B30" s="266" t="s">
        <v>103</v>
      </c>
      <c r="C30" s="285">
        <v>4613</v>
      </c>
      <c r="D30" s="1885"/>
      <c r="E30" s="285">
        <v>5503</v>
      </c>
      <c r="F30" s="274"/>
      <c r="G30" s="285">
        <f>'Exhibit I State'!AD77</f>
        <v>5800.3</v>
      </c>
      <c r="H30" s="274"/>
      <c r="I30" s="274">
        <f t="shared" ref="I30:I32" si="4">G30-C30</f>
        <v>1187.3000000000002</v>
      </c>
      <c r="J30" s="274"/>
      <c r="K30" s="274">
        <f t="shared" ref="K30:K32" si="5">G30-E30</f>
        <v>297.30000000000018</v>
      </c>
      <c r="L30" s="274"/>
      <c r="M30" s="1017"/>
      <c r="N30" s="274"/>
      <c r="O30" s="285">
        <v>1010</v>
      </c>
      <c r="P30" s="1885"/>
      <c r="Q30" s="285">
        <v>817</v>
      </c>
      <c r="R30" s="274"/>
      <c r="S30" s="274">
        <f>'Exhibit I Federal'!AD59</f>
        <v>816.4</v>
      </c>
      <c r="T30" s="274"/>
      <c r="U30" s="274">
        <f t="shared" ref="U30:U32" si="6">ROUND(SUM(S30)-SUM(O30),1)</f>
        <v>-193.6</v>
      </c>
      <c r="V30" s="274"/>
      <c r="W30" s="274">
        <f t="shared" ref="W30:W32" si="7">S30-Q30</f>
        <v>-0.60000000000002274</v>
      </c>
      <c r="X30" s="274"/>
      <c r="Y30" s="1596"/>
      <c r="Z30" s="274"/>
      <c r="AA30" s="1590"/>
      <c r="AB30" s="274"/>
      <c r="AC30" s="274"/>
    </row>
    <row r="31" spans="1:50">
      <c r="A31" s="360" t="s">
        <v>140</v>
      </c>
      <c r="B31" s="266" t="s">
        <v>103</v>
      </c>
      <c r="C31" s="285">
        <v>9720</v>
      </c>
      <c r="D31" s="1885"/>
      <c r="E31" s="285">
        <v>8642</v>
      </c>
      <c r="F31" s="274"/>
      <c r="G31" s="285">
        <f>'Exhibit I State'!AD82</f>
        <v>7045</v>
      </c>
      <c r="H31" s="274"/>
      <c r="I31" s="274">
        <f t="shared" si="4"/>
        <v>-2675</v>
      </c>
      <c r="J31" s="274"/>
      <c r="K31" s="274">
        <f t="shared" si="5"/>
        <v>-1597</v>
      </c>
      <c r="L31" s="274"/>
      <c r="M31" s="1017"/>
      <c r="N31" s="274"/>
      <c r="O31" s="285">
        <v>2018</v>
      </c>
      <c r="P31" s="1885"/>
      <c r="Q31" s="285">
        <v>1942</v>
      </c>
      <c r="R31" s="274"/>
      <c r="S31" s="274">
        <f>'Exhibit I Federal'!AD64</f>
        <v>1643.7</v>
      </c>
      <c r="T31" s="274"/>
      <c r="U31" s="274">
        <f t="shared" si="6"/>
        <v>-374.3</v>
      </c>
      <c r="V31" s="274"/>
      <c r="W31" s="274">
        <f t="shared" si="7"/>
        <v>-298.29999999999995</v>
      </c>
      <c r="X31" s="274"/>
      <c r="Y31" s="1596"/>
      <c r="Z31" s="274"/>
      <c r="AA31" s="1590"/>
      <c r="AB31" s="274"/>
      <c r="AC31" s="274"/>
    </row>
    <row r="32" spans="1:50">
      <c r="A32" s="360" t="s">
        <v>255</v>
      </c>
      <c r="B32" s="266" t="s">
        <v>103</v>
      </c>
      <c r="C32" s="285">
        <v>262</v>
      </c>
      <c r="D32" s="1885"/>
      <c r="E32" s="285">
        <v>135</v>
      </c>
      <c r="F32" s="274"/>
      <c r="G32" s="297">
        <f>-'Exhibit I State'!AD92</f>
        <v>129.80000000000001</v>
      </c>
      <c r="H32" s="274"/>
      <c r="I32" s="274">
        <f t="shared" si="4"/>
        <v>-132.19999999999999</v>
      </c>
      <c r="J32" s="274"/>
      <c r="K32" s="274">
        <f t="shared" si="5"/>
        <v>-5.1999999999999886</v>
      </c>
      <c r="L32" s="274"/>
      <c r="M32" s="1017"/>
      <c r="N32" s="274"/>
      <c r="O32" s="285">
        <v>0</v>
      </c>
      <c r="P32" s="1885"/>
      <c r="Q32" s="285">
        <v>1</v>
      </c>
      <c r="R32" s="274"/>
      <c r="S32" s="297">
        <f>-'Exhibit I Federal'!AD73</f>
        <v>0.6</v>
      </c>
      <c r="T32" s="274"/>
      <c r="U32" s="274">
        <f t="shared" si="6"/>
        <v>0.6</v>
      </c>
      <c r="V32" s="274"/>
      <c r="W32" s="274">
        <f t="shared" si="7"/>
        <v>-0.4</v>
      </c>
      <c r="X32" s="274"/>
      <c r="Y32" s="1596"/>
      <c r="Z32" s="274"/>
      <c r="AA32" s="1590"/>
      <c r="AB32" s="274"/>
      <c r="AC32" s="274"/>
    </row>
    <row r="33" spans="1:50" ht="18" customHeight="1">
      <c r="A33" s="1248" t="s">
        <v>277</v>
      </c>
      <c r="B33" s="36" t="s">
        <v>103</v>
      </c>
      <c r="C33" s="631">
        <f>ROUND(SUM(C30:C32),1)</f>
        <v>14595</v>
      </c>
      <c r="D33" s="274"/>
      <c r="E33" s="631">
        <f>ROUND(SUM(E30:E32),1)</f>
        <v>14280</v>
      </c>
      <c r="F33" s="274"/>
      <c r="G33" s="631">
        <f>ROUND(SUM(G30:G32),1)</f>
        <v>12975.1</v>
      </c>
      <c r="H33" s="274"/>
      <c r="I33" s="631">
        <f>ROUND(SUM(I30:I32),1)</f>
        <v>-1619.9</v>
      </c>
      <c r="J33" s="274"/>
      <c r="K33" s="631">
        <f>ROUND(SUM(K30:K32),1)</f>
        <v>-1304.9000000000001</v>
      </c>
      <c r="L33" s="13"/>
      <c r="M33" s="1578"/>
      <c r="N33" s="274"/>
      <c r="O33" s="631">
        <f>ROUND(SUM(O30:O32),1)</f>
        <v>3028</v>
      </c>
      <c r="P33" s="274"/>
      <c r="Q33" s="631">
        <f>ROUND(SUM(Q30:Q32),1)</f>
        <v>2760</v>
      </c>
      <c r="R33" s="274"/>
      <c r="S33" s="631">
        <f>ROUND(SUM(S30:S32),1)</f>
        <v>2460.6999999999998</v>
      </c>
      <c r="T33" s="274"/>
      <c r="U33" s="631">
        <f>ROUND(SUM(U30:U32),1)</f>
        <v>-567.29999999999995</v>
      </c>
      <c r="V33" s="274"/>
      <c r="W33" s="631">
        <f>ROUND(SUM(W30:W32),1)</f>
        <v>-299.3</v>
      </c>
      <c r="X33" s="13"/>
      <c r="Y33" s="1597"/>
      <c r="Z33" s="13"/>
      <c r="AA33" s="1591"/>
      <c r="AB33" s="13"/>
      <c r="AC33" s="13"/>
    </row>
    <row r="34" spans="1:50">
      <c r="B34" s="266" t="s">
        <v>103</v>
      </c>
      <c r="C34" s="629"/>
      <c r="D34" s="274"/>
      <c r="E34" s="629"/>
      <c r="F34" s="274"/>
      <c r="G34" s="629"/>
      <c r="H34" s="274"/>
      <c r="I34" s="629"/>
      <c r="J34" s="274"/>
      <c r="K34" s="629"/>
      <c r="L34" s="274"/>
      <c r="M34" s="1017"/>
      <c r="N34" s="274"/>
      <c r="O34" s="629"/>
      <c r="P34" s="274"/>
      <c r="Q34" s="629"/>
      <c r="R34" s="274"/>
      <c r="S34" s="629"/>
      <c r="T34" s="274"/>
      <c r="U34" s="629"/>
      <c r="V34" s="274"/>
      <c r="W34" s="629"/>
      <c r="X34" s="274"/>
      <c r="Y34" s="1567"/>
      <c r="Z34" s="274"/>
      <c r="AA34" s="1589"/>
      <c r="AB34" s="274"/>
      <c r="AC34" s="274"/>
    </row>
    <row r="35" spans="1:50">
      <c r="A35" s="3" t="s">
        <v>257</v>
      </c>
      <c r="C35" s="274"/>
      <c r="D35" s="13"/>
      <c r="E35" s="274"/>
      <c r="F35" s="13"/>
      <c r="G35" s="274"/>
      <c r="H35" s="13"/>
      <c r="I35" s="274"/>
      <c r="J35" s="13"/>
      <c r="K35" s="274"/>
      <c r="L35" s="274"/>
      <c r="M35" s="1017"/>
      <c r="N35" s="13"/>
      <c r="O35" s="274"/>
      <c r="P35" s="13"/>
      <c r="Q35" s="274"/>
      <c r="R35" s="13"/>
      <c r="S35" s="274"/>
      <c r="T35" s="13"/>
      <c r="U35" s="274"/>
      <c r="V35" s="13"/>
      <c r="W35" s="274"/>
      <c r="X35" s="274"/>
      <c r="Y35" s="1567"/>
      <c r="Z35" s="274"/>
      <c r="AA35" s="1589"/>
      <c r="AB35" s="274"/>
      <c r="AC35" s="274"/>
    </row>
    <row r="36" spans="1:50">
      <c r="A36" s="3" t="s">
        <v>258</v>
      </c>
      <c r="C36" s="274"/>
      <c r="D36" s="274"/>
      <c r="E36" s="274"/>
      <c r="F36" s="274"/>
      <c r="G36" s="274"/>
      <c r="H36" s="274"/>
      <c r="I36" s="274"/>
      <c r="J36" s="274"/>
      <c r="K36" s="274"/>
      <c r="L36" s="274"/>
      <c r="M36" s="1017"/>
      <c r="N36" s="274"/>
      <c r="O36" s="274"/>
      <c r="P36" s="274"/>
      <c r="Q36" s="274"/>
      <c r="R36" s="274"/>
      <c r="S36" s="274"/>
      <c r="T36" s="274"/>
      <c r="U36" s="274"/>
      <c r="V36" s="274"/>
      <c r="W36" s="274"/>
      <c r="X36" s="274"/>
      <c r="Y36" s="1567"/>
      <c r="Z36" s="274"/>
      <c r="AA36" s="1589"/>
      <c r="AB36" s="274"/>
      <c r="AC36" s="274"/>
    </row>
    <row r="37" spans="1:50">
      <c r="A37" s="1248" t="s">
        <v>259</v>
      </c>
      <c r="B37" s="42" t="s">
        <v>103</v>
      </c>
      <c r="C37" s="13">
        <f>ROUND(SUM(C27)-SUM(C33),1)</f>
        <v>-873</v>
      </c>
      <c r="D37" s="274"/>
      <c r="E37" s="13">
        <f>ROUND(SUM(E27)-SUM(E33),1)</f>
        <v>-1868</v>
      </c>
      <c r="F37" s="274"/>
      <c r="G37" s="13">
        <f>ROUND(SUM(G27)-SUM(G33),1)</f>
        <v>-1487.9</v>
      </c>
      <c r="H37" s="274"/>
      <c r="I37" s="13">
        <f>G37-C37</f>
        <v>-614.90000000000009</v>
      </c>
      <c r="J37" s="274"/>
      <c r="K37" s="13">
        <f>ROUND(SUM(K27)-SUM(K33),1)</f>
        <v>380.1</v>
      </c>
      <c r="L37" s="13"/>
      <c r="M37" s="1578"/>
      <c r="N37" s="274"/>
      <c r="O37" s="13">
        <f>ROUND(SUM(O27)-SUM(O33),1)</f>
        <v>-79</v>
      </c>
      <c r="P37" s="274"/>
      <c r="Q37" s="13">
        <f>ROUND(SUM(Q27)-SUM(Q33),1)</f>
        <v>118</v>
      </c>
      <c r="R37" s="274"/>
      <c r="S37" s="13">
        <f>ROUND(SUM(S27)-SUM(S33),1)</f>
        <v>208.8</v>
      </c>
      <c r="T37" s="274"/>
      <c r="U37" s="13">
        <f>S37-O37</f>
        <v>287.8</v>
      </c>
      <c r="V37" s="274"/>
      <c r="W37" s="13">
        <f>ROUND(SUM(W27)-SUM(W33),1)</f>
        <v>90.8</v>
      </c>
      <c r="X37" s="18"/>
      <c r="Y37" s="1597"/>
      <c r="Z37" s="18"/>
      <c r="AA37" s="1591"/>
      <c r="AB37" s="18"/>
      <c r="AC37" s="13"/>
    </row>
    <row r="38" spans="1:50">
      <c r="C38" s="274"/>
      <c r="D38" s="274"/>
      <c r="E38" s="274"/>
      <c r="F38" s="274"/>
      <c r="G38" s="274"/>
      <c r="H38" s="274"/>
      <c r="I38" s="274"/>
      <c r="J38" s="274"/>
      <c r="K38" s="13"/>
      <c r="L38" s="13"/>
      <c r="M38" s="1578"/>
      <c r="N38" s="274"/>
      <c r="O38" s="274"/>
      <c r="P38" s="274"/>
      <c r="Q38" s="274"/>
      <c r="R38" s="274"/>
      <c r="S38" s="274"/>
      <c r="T38" s="274"/>
      <c r="U38" s="274"/>
      <c r="V38" s="274"/>
      <c r="W38" s="274"/>
      <c r="X38" s="274"/>
      <c r="Y38" s="1567"/>
      <c r="Z38" s="274"/>
      <c r="AA38" s="1589"/>
      <c r="AB38" s="274"/>
      <c r="AC38" s="274"/>
    </row>
    <row r="39" spans="1:50">
      <c r="A39" s="1248" t="s">
        <v>260</v>
      </c>
      <c r="B39" s="395" t="s">
        <v>103</v>
      </c>
      <c r="C39" s="13">
        <v>-745</v>
      </c>
      <c r="D39" s="18"/>
      <c r="E39" s="13">
        <v>-745</v>
      </c>
      <c r="F39" s="18"/>
      <c r="G39" s="13">
        <v>-745.3</v>
      </c>
      <c r="H39" s="18"/>
      <c r="I39" s="13">
        <f>G39-C39</f>
        <v>-0.29999999999995453</v>
      </c>
      <c r="J39" s="18"/>
      <c r="K39" s="13">
        <f t="shared" ref="K39" si="8">G39-E39</f>
        <v>-0.29999999999995453</v>
      </c>
      <c r="L39" s="13"/>
      <c r="M39" s="1578"/>
      <c r="N39" s="18"/>
      <c r="O39" s="13">
        <v>-572</v>
      </c>
      <c r="P39" s="18"/>
      <c r="Q39" s="13">
        <v>-572</v>
      </c>
      <c r="R39" s="18"/>
      <c r="S39" s="13">
        <v>-572.79999999999995</v>
      </c>
      <c r="T39" s="18"/>
      <c r="U39" s="13">
        <f>S39-O39</f>
        <v>-0.79999999999995453</v>
      </c>
      <c r="V39" s="18"/>
      <c r="W39" s="13">
        <f t="shared" ref="W39" si="9">S39-Q39</f>
        <v>-0.79999999999995453</v>
      </c>
      <c r="X39" s="274"/>
      <c r="Y39" s="1597"/>
      <c r="Z39" s="274"/>
      <c r="AA39" s="1591"/>
      <c r="AB39" s="274"/>
      <c r="AC39" s="16"/>
      <c r="AJ39" s="266"/>
      <c r="AK39" s="266"/>
      <c r="AL39" s="266"/>
      <c r="AM39" s="266"/>
      <c r="AN39" s="266"/>
      <c r="AO39" s="266"/>
      <c r="AP39" s="266"/>
      <c r="AQ39" s="266"/>
      <c r="AR39" s="266"/>
      <c r="AS39" s="266"/>
      <c r="AT39" s="266"/>
      <c r="AU39" s="266"/>
      <c r="AV39" s="266"/>
      <c r="AW39" s="266"/>
      <c r="AX39" s="266"/>
    </row>
    <row r="40" spans="1:50" ht="16" thickBot="1">
      <c r="A40" s="1248" t="str">
        <f>+'Exh D Governmental  '!A50</f>
        <v>Fund Balances (Deficits) at February 28, 2025</v>
      </c>
      <c r="B40" s="43" t="s">
        <v>103</v>
      </c>
      <c r="C40" s="688">
        <f>ROUND(SUM(C37:C39),1)</f>
        <v>-1618</v>
      </c>
      <c r="D40" s="274"/>
      <c r="E40" s="688">
        <f>ROUND(SUM(E37:E39),1)</f>
        <v>-2613</v>
      </c>
      <c r="F40" s="274"/>
      <c r="G40" s="688">
        <f>ROUND(SUM(G37:G39),1)</f>
        <v>-2233.1999999999998</v>
      </c>
      <c r="H40" s="274"/>
      <c r="I40" s="688">
        <f>ROUND(SUM(I37:I39),1)</f>
        <v>-615.20000000000005</v>
      </c>
      <c r="J40" s="274"/>
      <c r="K40" s="688">
        <f>ROUND(SUM(K37:K39),1)</f>
        <v>379.8</v>
      </c>
      <c r="L40" s="20"/>
      <c r="M40" s="350"/>
      <c r="N40" s="274"/>
      <c r="O40" s="688">
        <f>ROUND(SUM(O37:O39),1)</f>
        <v>-651</v>
      </c>
      <c r="P40" s="274"/>
      <c r="Q40" s="688">
        <f>ROUND(SUM(Q37:Q39),1)</f>
        <v>-454</v>
      </c>
      <c r="R40" s="274"/>
      <c r="S40" s="688">
        <f>ROUND(SUM(S37:S39),1)</f>
        <v>-364</v>
      </c>
      <c r="T40" s="274"/>
      <c r="U40" s="688">
        <f>ROUND(SUM(U37:U39),1)</f>
        <v>287</v>
      </c>
      <c r="V40" s="274"/>
      <c r="W40" s="688">
        <f>ROUND(SUM(W37:W39),1)</f>
        <v>90</v>
      </c>
      <c r="X40" s="44"/>
      <c r="Y40" s="1591"/>
      <c r="Z40" s="44"/>
      <c r="AA40" s="1591"/>
      <c r="AB40" s="44"/>
      <c r="AC40" s="20"/>
      <c r="AJ40" s="266"/>
      <c r="AK40" s="266"/>
      <c r="AL40" s="266"/>
      <c r="AM40" s="266"/>
      <c r="AN40" s="266"/>
      <c r="AO40" s="266"/>
      <c r="AP40" s="266"/>
      <c r="AQ40" s="266"/>
      <c r="AR40" s="266"/>
      <c r="AS40" s="266"/>
      <c r="AT40" s="266"/>
      <c r="AU40" s="266"/>
      <c r="AV40" s="266"/>
      <c r="AW40" s="266"/>
      <c r="AX40" s="266"/>
    </row>
    <row r="41" spans="1:50" ht="16" thickTop="1">
      <c r="D41" s="274"/>
      <c r="F41" s="274"/>
      <c r="H41" s="274"/>
      <c r="J41" s="274"/>
      <c r="N41" s="274"/>
      <c r="P41" s="274"/>
      <c r="R41" s="274"/>
      <c r="S41" s="278"/>
      <c r="T41" s="274"/>
      <c r="V41" s="274"/>
      <c r="W41" s="266"/>
      <c r="Y41" s="266"/>
      <c r="AA41" s="278"/>
    </row>
    <row r="42" spans="1:50">
      <c r="A42" s="396" t="str">
        <f>'Exh D Governmental  '!A52</f>
        <v xml:space="preserve">(*)    Source: 2024-25 Enacted Budget dated May 24, 2024.  </v>
      </c>
      <c r="D42" s="44"/>
      <c r="F42" s="44"/>
      <c r="G42" s="1887"/>
      <c r="H42" s="44"/>
      <c r="J42" s="44"/>
      <c r="N42" s="44"/>
      <c r="P42" s="44"/>
      <c r="R42" s="44"/>
      <c r="S42" s="1887"/>
      <c r="T42" s="44"/>
      <c r="U42" s="1888"/>
      <c r="V42" s="44"/>
    </row>
    <row r="43" spans="1:50">
      <c r="A43" s="396" t="str">
        <f>'Exh D Governmental  '!A53</f>
        <v>(**)   Source: 2025-26 Executive Budget with 30-day amendments dated February 20, 2025, which made no changes to the Executive Budget Financial Plan.</v>
      </c>
      <c r="W43" s="266"/>
      <c r="Y43" s="266"/>
      <c r="AJ43" s="266"/>
      <c r="AK43" s="266"/>
      <c r="AL43" s="266"/>
      <c r="AM43" s="266"/>
    </row>
    <row r="44" spans="1:50">
      <c r="A44" s="360"/>
      <c r="AA44" s="391"/>
      <c r="AC44" s="391"/>
      <c r="AE44" s="399"/>
    </row>
    <row r="45" spans="1:50">
      <c r="A45" s="360"/>
      <c r="D45" s="301"/>
      <c r="F45" s="301"/>
      <c r="H45" s="301"/>
      <c r="J45" s="301"/>
      <c r="N45" s="301"/>
      <c r="P45" s="301"/>
      <c r="R45" s="301"/>
      <c r="T45" s="301"/>
      <c r="V45" s="301"/>
    </row>
    <row r="46" spans="1:50">
      <c r="A46" s="423"/>
      <c r="D46" s="301"/>
      <c r="F46" s="301"/>
      <c r="H46" s="301"/>
      <c r="J46" s="301"/>
      <c r="N46" s="301"/>
      <c r="P46" s="301"/>
      <c r="R46" s="301"/>
      <c r="T46" s="301"/>
      <c r="V46" s="301"/>
    </row>
    <row r="47" spans="1:50">
      <c r="A47" s="46"/>
    </row>
    <row r="48" spans="1:50">
      <c r="D48" s="301"/>
      <c r="F48" s="301"/>
      <c r="H48" s="301"/>
      <c r="J48" s="301"/>
      <c r="N48" s="301"/>
      <c r="P48" s="301"/>
      <c r="R48" s="301"/>
      <c r="T48" s="301"/>
      <c r="V48" s="301"/>
    </row>
    <row r="49" spans="4:22">
      <c r="D49" s="301"/>
      <c r="F49" s="301"/>
      <c r="H49" s="301"/>
      <c r="J49" s="301"/>
      <c r="N49" s="301"/>
      <c r="P49" s="301"/>
      <c r="R49" s="301"/>
      <c r="T49" s="301"/>
      <c r="V49" s="301"/>
    </row>
    <row r="52" spans="4:22">
      <c r="G52" s="278"/>
    </row>
  </sheetData>
  <mergeCells count="3">
    <mergeCell ref="A5:E5"/>
    <mergeCell ref="C11:I11"/>
    <mergeCell ref="O11:U11"/>
  </mergeCells>
  <printOptions horizontalCentered="1"/>
  <pageMargins left="0.2" right="0.2" top="0.75" bottom="0.75" header="0.3" footer="0.3"/>
  <pageSetup scale="51" firstPageNumber="15"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80" zoomScaleNormal="80" workbookViewId="0"/>
  </sheetViews>
  <sheetFormatPr defaultColWidth="9.69140625" defaultRowHeight="12.5"/>
  <cols>
    <col min="1" max="1" width="32.07421875" style="1356" customWidth="1"/>
    <col min="2" max="2" width="10.69140625" style="1356" customWidth="1"/>
    <col min="3" max="3" width="3.4609375" style="1356" customWidth="1"/>
    <col min="4" max="4" width="12.69140625" style="1356" customWidth="1"/>
    <col min="5" max="5" width="1.69140625" style="1356" customWidth="1"/>
    <col min="6" max="6" width="12.69140625" style="1356" customWidth="1"/>
    <col min="7" max="7" width="1.69140625" style="1356" customWidth="1"/>
    <col min="8" max="8" width="12.69140625" style="1356" customWidth="1"/>
    <col min="9" max="9" width="1.69140625" style="1356" customWidth="1"/>
    <col min="10" max="10" width="12.69140625" style="1356" customWidth="1"/>
    <col min="11" max="11" width="1.69140625" style="1356" customWidth="1"/>
    <col min="12" max="12" width="12.69140625" style="1356" customWidth="1"/>
    <col min="13" max="13" width="1.69140625" style="1356" customWidth="1"/>
    <col min="14" max="14" width="12.69140625" style="1356" customWidth="1"/>
    <col min="15" max="15" width="1.69140625" style="1356" customWidth="1"/>
    <col min="16" max="16" width="12.69140625" style="1356" customWidth="1"/>
    <col min="17" max="17" width="1.69140625" style="1356" customWidth="1"/>
    <col min="18" max="18" width="12.69140625" style="1356" customWidth="1"/>
    <col min="19" max="19" width="1.69140625" style="1356" customWidth="1"/>
    <col min="20" max="20" width="1" style="1356" customWidth="1"/>
    <col min="21" max="21" width="1.69140625" style="1356" customWidth="1"/>
    <col min="22" max="22" width="12.69140625" style="1356" customWidth="1"/>
    <col min="23" max="23" width="1.69140625" style="1356" customWidth="1"/>
    <col min="24" max="24" width="12.69140625" style="1356" customWidth="1"/>
    <col min="25" max="25" width="1.69140625" style="1356" customWidth="1"/>
    <col min="26" max="26" width="1" style="1356" customWidth="1"/>
    <col min="27" max="27" width="1.69140625" style="1356" customWidth="1"/>
    <col min="28" max="28" width="12.69140625" style="1356" customWidth="1"/>
    <col min="29" max="29" width="2" style="1356" customWidth="1"/>
    <col min="30" max="30" width="12.69140625" style="1356" customWidth="1"/>
    <col min="31" max="31" width="1.53515625" style="1356" customWidth="1"/>
    <col min="32" max="32" width="0.4609375" style="1356" customWidth="1"/>
    <col min="33" max="33" width="1.53515625" style="1356" customWidth="1"/>
    <col min="34" max="34" width="11.69140625" style="1356" customWidth="1"/>
    <col min="35" max="35" width="1.69140625" style="1356" customWidth="1"/>
    <col min="36" max="36" width="11.69140625" style="1356" customWidth="1"/>
    <col min="37" max="37" width="2.07421875" style="1356" customWidth="1"/>
    <col min="38" max="38" width="1.69140625" style="1356" customWidth="1"/>
    <col min="39" max="39" width="9.69140625" style="1356"/>
    <col min="40" max="40" width="9" style="1356" customWidth="1"/>
    <col min="41" max="16384" width="9.69140625" style="1356"/>
  </cols>
  <sheetData>
    <row r="1" spans="1:39" s="1350" customFormat="1" ht="15.5">
      <c r="A1" s="294" t="s">
        <v>97</v>
      </c>
    </row>
    <row r="2" spans="1:39" s="1353" customFormat="1">
      <c r="A2" s="1351"/>
      <c r="B2" s="1352"/>
      <c r="C2" s="1352"/>
      <c r="D2" s="1350"/>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c r="AC2" s="1352"/>
      <c r="AD2" s="1352"/>
      <c r="AE2" s="1352"/>
      <c r="AF2" s="1352"/>
      <c r="AG2" s="1352"/>
      <c r="AH2" s="1352"/>
    </row>
    <row r="3" spans="1:39" ht="18">
      <c r="A3" s="1354" t="s">
        <v>98</v>
      </c>
      <c r="B3" s="1355"/>
      <c r="C3" s="1355"/>
      <c r="D3" s="1350"/>
      <c r="E3" s="1355"/>
      <c r="F3" s="1355"/>
      <c r="G3" s="1355"/>
      <c r="H3" s="1355"/>
      <c r="I3" s="1355"/>
      <c r="J3" s="1355"/>
      <c r="K3" s="1355"/>
      <c r="L3" s="1923"/>
      <c r="M3" s="1923"/>
      <c r="N3" s="1923"/>
      <c r="O3" s="1923"/>
      <c r="P3" s="1355"/>
      <c r="Q3" s="1355"/>
      <c r="R3" s="1355"/>
      <c r="S3" s="1923"/>
      <c r="T3" s="1355"/>
      <c r="U3" s="1923"/>
      <c r="V3" s="1923"/>
      <c r="W3" s="1923"/>
      <c r="X3" s="1923"/>
      <c r="Y3" s="1923"/>
      <c r="Z3" s="1923"/>
      <c r="AA3" s="1923"/>
      <c r="AB3" s="1923"/>
      <c r="AC3" s="1923"/>
      <c r="AD3" s="1923"/>
      <c r="AE3" s="1923"/>
      <c r="AF3" s="1355"/>
      <c r="AG3" s="1355"/>
      <c r="AH3" s="1924"/>
      <c r="AI3" s="1924"/>
    </row>
    <row r="4" spans="1:39" ht="18">
      <c r="A4" s="1357" t="s">
        <v>100</v>
      </c>
      <c r="B4" s="1355"/>
      <c r="C4" s="1355"/>
      <c r="D4" s="1350"/>
      <c r="E4" s="1355"/>
      <c r="F4" s="1355"/>
      <c r="G4" s="1355"/>
      <c r="H4" s="1355"/>
      <c r="I4" s="1355"/>
      <c r="J4" s="1355"/>
      <c r="K4" s="1355"/>
      <c r="L4" s="1923"/>
      <c r="M4" s="1923"/>
      <c r="N4" s="1923"/>
      <c r="O4" s="1923"/>
      <c r="P4" s="1355"/>
      <c r="Q4" s="1355"/>
      <c r="R4" s="1355"/>
      <c r="S4" s="1923"/>
      <c r="T4" s="1355"/>
      <c r="U4" s="1923"/>
      <c r="V4" s="1923"/>
      <c r="W4" s="1923"/>
      <c r="X4" s="1923"/>
      <c r="Y4" s="1923"/>
      <c r="Z4" s="1923"/>
      <c r="AA4" s="1923"/>
      <c r="AB4" s="1923"/>
      <c r="AC4" s="1923"/>
      <c r="AD4" s="1923"/>
      <c r="AE4" s="1923"/>
      <c r="AF4" s="1355"/>
      <c r="AG4" s="1355"/>
      <c r="AH4" s="1924"/>
      <c r="AI4" s="1924"/>
    </row>
    <row r="5" spans="1:39" ht="18">
      <c r="A5" s="1354" t="s">
        <v>291</v>
      </c>
      <c r="B5" s="1355"/>
      <c r="C5" s="1355"/>
      <c r="D5" s="1350"/>
      <c r="E5" s="1355"/>
      <c r="F5" s="1355"/>
      <c r="G5" s="1355"/>
      <c r="H5" s="1923"/>
      <c r="I5" s="1923"/>
      <c r="J5" s="1923"/>
      <c r="K5" s="1355"/>
      <c r="L5" s="1923"/>
      <c r="M5" s="1923"/>
      <c r="N5" s="1923" t="s">
        <v>103</v>
      </c>
      <c r="O5" s="1923"/>
      <c r="P5" s="1355"/>
      <c r="Q5" s="1355"/>
      <c r="R5" s="1355"/>
      <c r="S5" s="1923"/>
      <c r="T5" s="1355"/>
      <c r="U5" s="1923"/>
      <c r="V5" s="1923"/>
      <c r="W5" s="1923"/>
      <c r="X5" s="1923"/>
      <c r="Y5" s="1923"/>
      <c r="Z5" s="1923"/>
      <c r="AA5" s="1923"/>
      <c r="AB5" s="1923"/>
      <c r="AC5" s="1923"/>
      <c r="AD5" s="1923"/>
      <c r="AE5" s="1923"/>
      <c r="AF5" s="1355"/>
      <c r="AG5" s="1355"/>
      <c r="AH5" s="1924"/>
      <c r="AI5" s="1924"/>
    </row>
    <row r="6" spans="1:39" ht="18">
      <c r="A6" s="1354" t="s">
        <v>102</v>
      </c>
      <c r="B6" s="1355"/>
      <c r="C6" s="1355"/>
      <c r="D6" s="1350"/>
      <c r="E6" s="1355"/>
      <c r="F6" s="1355"/>
      <c r="G6" s="1355"/>
      <c r="H6" s="1355"/>
      <c r="I6" s="1355"/>
      <c r="J6" s="1355"/>
      <c r="K6" s="1355"/>
      <c r="L6" s="1923"/>
      <c r="M6" s="1923"/>
      <c r="N6" s="1923"/>
      <c r="O6" s="1923"/>
      <c r="P6" s="1355"/>
      <c r="Q6" s="1355"/>
      <c r="R6" s="1355"/>
      <c r="S6" s="1923"/>
      <c r="T6" s="1355"/>
      <c r="U6" s="1923"/>
      <c r="V6" s="1923"/>
      <c r="W6" s="1923"/>
      <c r="X6" s="1923"/>
      <c r="Y6" s="1923"/>
      <c r="Z6" s="1923"/>
      <c r="AA6" s="1923"/>
      <c r="AB6" s="1923"/>
      <c r="AC6" s="1923"/>
      <c r="AD6" s="1923"/>
      <c r="AE6" s="1923"/>
      <c r="AF6" s="1355"/>
      <c r="AG6" s="1355"/>
      <c r="AH6" s="1924"/>
      <c r="AI6" s="1924"/>
    </row>
    <row r="7" spans="1:39" ht="18">
      <c r="A7" s="1355"/>
      <c r="B7" s="1355"/>
      <c r="C7" s="1355"/>
      <c r="D7" s="1350"/>
      <c r="E7" s="1355"/>
      <c r="F7" s="1355"/>
      <c r="G7" s="1355"/>
      <c r="H7" s="1355"/>
      <c r="I7" s="1355"/>
      <c r="J7" s="1355"/>
      <c r="K7" s="1355"/>
      <c r="L7" s="1923"/>
      <c r="M7" s="1923"/>
      <c r="N7" s="1923"/>
      <c r="O7" s="1923"/>
      <c r="P7" s="1923"/>
      <c r="Q7" s="1923"/>
      <c r="R7" s="1923"/>
      <c r="S7" s="1923"/>
      <c r="T7" s="1923"/>
      <c r="U7" s="1923"/>
      <c r="V7" s="1923"/>
      <c r="W7" s="1923"/>
      <c r="X7" s="1923"/>
      <c r="Y7" s="1923"/>
      <c r="Z7" s="1923"/>
      <c r="AA7" s="1923"/>
      <c r="AB7" s="1925"/>
      <c r="AC7" s="1925"/>
      <c r="AD7" s="1925"/>
      <c r="AE7" s="1925"/>
      <c r="AF7" s="1355"/>
      <c r="AG7" s="1355"/>
      <c r="AH7" s="1924"/>
      <c r="AI7" s="1924"/>
      <c r="AJ7" s="1926" t="s">
        <v>292</v>
      </c>
    </row>
    <row r="8" spans="1:39" ht="15.5">
      <c r="A8" s="294"/>
      <c r="B8" s="294"/>
      <c r="C8" s="294"/>
      <c r="D8" s="1350"/>
      <c r="E8" s="294"/>
      <c r="F8" s="294"/>
      <c r="G8" s="294"/>
      <c r="H8" s="294"/>
      <c r="I8" s="294"/>
      <c r="J8" s="294"/>
      <c r="K8" s="294"/>
      <c r="L8" s="295"/>
      <c r="M8" s="295"/>
      <c r="N8" s="295"/>
      <c r="O8" s="295"/>
      <c r="P8" s="295"/>
      <c r="Q8" s="295"/>
      <c r="R8" s="295"/>
      <c r="S8" s="295"/>
      <c r="T8" s="295"/>
      <c r="U8" s="295"/>
      <c r="V8" s="295"/>
      <c r="W8" s="295"/>
      <c r="X8" s="295"/>
      <c r="Y8" s="295"/>
      <c r="Z8" s="295"/>
      <c r="AA8" s="295"/>
      <c r="AB8" s="295"/>
      <c r="AC8" s="295"/>
      <c r="AD8" s="295"/>
      <c r="AE8" s="295"/>
      <c r="AF8" s="294"/>
      <c r="AG8" s="294"/>
      <c r="AH8" s="1924"/>
      <c r="AI8" s="1924"/>
    </row>
    <row r="9" spans="1:39" ht="15.5">
      <c r="A9" s="294"/>
      <c r="B9" s="294"/>
      <c r="C9" s="294"/>
      <c r="D9" s="1350"/>
      <c r="E9" s="295"/>
      <c r="F9" s="295"/>
      <c r="G9" s="295"/>
      <c r="H9" s="295"/>
      <c r="I9" s="295"/>
      <c r="J9" s="295"/>
      <c r="K9" s="295"/>
      <c r="L9" s="295"/>
      <c r="M9" s="295"/>
      <c r="N9" s="295"/>
      <c r="O9" s="295"/>
      <c r="P9" s="295"/>
      <c r="Q9" s="295"/>
      <c r="R9" s="295"/>
      <c r="S9" s="295"/>
      <c r="T9" s="295"/>
      <c r="U9" s="295"/>
      <c r="V9" s="1923"/>
      <c r="W9" s="1923"/>
      <c r="X9" s="1923"/>
      <c r="Y9" s="1923"/>
      <c r="Z9" s="1923"/>
      <c r="AA9" s="1923"/>
      <c r="AB9" s="1923"/>
      <c r="AC9" s="1923"/>
      <c r="AD9" s="1923"/>
      <c r="AE9" s="1923"/>
      <c r="AF9" s="295"/>
      <c r="AG9" s="295"/>
      <c r="AH9" s="1927"/>
      <c r="AI9" s="1927"/>
    </row>
    <row r="10" spans="1:39" ht="4.4000000000000004"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1924"/>
      <c r="AI10" s="1924"/>
    </row>
    <row r="11" spans="1:39" ht="15" customHeight="1">
      <c r="A11" s="294"/>
      <c r="B11" s="294"/>
      <c r="C11" s="294"/>
      <c r="D11" s="1358" t="s">
        <v>104</v>
      </c>
      <c r="E11" s="1358"/>
      <c r="F11" s="1358"/>
      <c r="G11" s="294"/>
      <c r="H11" s="1358" t="s">
        <v>293</v>
      </c>
      <c r="I11" s="1358"/>
      <c r="J11" s="1358"/>
      <c r="K11" s="294"/>
      <c r="L11" s="1358" t="s">
        <v>106</v>
      </c>
      <c r="M11" s="1358"/>
      <c r="N11" s="1358"/>
      <c r="O11" s="294"/>
      <c r="P11" s="1358" t="s">
        <v>294</v>
      </c>
      <c r="Q11" s="1358"/>
      <c r="R11" s="1358"/>
      <c r="S11" s="294"/>
      <c r="T11" s="294"/>
      <c r="U11" s="294"/>
      <c r="V11" s="1928" t="s">
        <v>295</v>
      </c>
      <c r="W11" s="1358"/>
      <c r="X11" s="1358"/>
      <c r="Y11" s="1358"/>
      <c r="Z11" s="1929"/>
      <c r="AA11" s="1929"/>
      <c r="AB11" s="1358"/>
      <c r="AC11" s="1358"/>
      <c r="AD11" s="1358"/>
      <c r="AE11" s="1930"/>
      <c r="AF11" s="1931"/>
      <c r="AG11" s="295"/>
      <c r="AH11" s="1928" t="s">
        <v>211</v>
      </c>
      <c r="AI11" s="1358"/>
      <c r="AJ11" s="1358"/>
    </row>
    <row r="12" spans="1:39" ht="15.5">
      <c r="A12" s="294"/>
      <c r="B12" s="294"/>
      <c r="C12" s="294"/>
      <c r="D12" s="1380" t="s">
        <v>109</v>
      </c>
      <c r="E12" s="1380"/>
      <c r="F12" s="1932" t="str">
        <f>'Exhibit A'!F11</f>
        <v>11 MOS. ENDED</v>
      </c>
      <c r="G12" s="295"/>
      <c r="H12" s="1380" t="s">
        <v>109</v>
      </c>
      <c r="I12" s="1933"/>
      <c r="J12" s="1380" t="str">
        <f>F12</f>
        <v>11 MOS. ENDED</v>
      </c>
      <c r="K12" s="295"/>
      <c r="L12" s="1380" t="s">
        <v>109</v>
      </c>
      <c r="M12" s="1933"/>
      <c r="N12" s="1380" t="str">
        <f>F12</f>
        <v>11 MOS. ENDED</v>
      </c>
      <c r="O12" s="295"/>
      <c r="P12" s="1380" t="s">
        <v>109</v>
      </c>
      <c r="Q12" s="1933"/>
      <c r="R12" s="1380" t="str">
        <f>F12</f>
        <v>11 MOS. ENDED</v>
      </c>
      <c r="S12" s="295"/>
      <c r="T12" s="295"/>
      <c r="U12" s="295"/>
      <c r="V12" s="1380" t="s">
        <v>109</v>
      </c>
      <c r="W12" s="1380"/>
      <c r="X12" s="1380" t="str">
        <f>F12</f>
        <v>11 MOS. ENDED</v>
      </c>
      <c r="Y12" s="1380"/>
      <c r="Z12" s="1934"/>
      <c r="AA12" s="1934"/>
      <c r="AB12" s="1380" t="s">
        <v>109</v>
      </c>
      <c r="AC12" s="1380"/>
      <c r="AD12" s="1380" t="str">
        <f>F12</f>
        <v>11 MOS. ENDED</v>
      </c>
      <c r="AE12" s="1934"/>
      <c r="AF12" s="1934"/>
      <c r="AG12" s="1935"/>
      <c r="AH12" s="1932" t="s">
        <v>110</v>
      </c>
      <c r="AI12" s="1933"/>
      <c r="AJ12" s="1932" t="s">
        <v>111</v>
      </c>
      <c r="AK12" s="1936"/>
      <c r="AL12" s="1924"/>
    </row>
    <row r="13" spans="1:39" ht="15.5">
      <c r="A13" s="294"/>
      <c r="B13" s="294"/>
      <c r="C13" s="294"/>
      <c r="D13" s="1359" t="str">
        <f>'Exhibit A'!D12</f>
        <v>FEB. 2025</v>
      </c>
      <c r="E13" s="1937"/>
      <c r="F13" s="1359" t="str">
        <f>'Exhibit A'!F12</f>
        <v>FEB. 28, 2025</v>
      </c>
      <c r="G13" s="295"/>
      <c r="H13" s="1359" t="str">
        <f>D13</f>
        <v>FEB. 2025</v>
      </c>
      <c r="I13" s="1937"/>
      <c r="J13" s="1359" t="str">
        <f>F13</f>
        <v>FEB. 28, 2025</v>
      </c>
      <c r="K13" s="295"/>
      <c r="L13" s="1359" t="str">
        <f>D13</f>
        <v>FEB. 2025</v>
      </c>
      <c r="M13" s="1937"/>
      <c r="N13" s="1359" t="str">
        <f>F13</f>
        <v>FEB. 28, 2025</v>
      </c>
      <c r="O13" s="295"/>
      <c r="P13" s="1359" t="str">
        <f>D13</f>
        <v>FEB. 2025</v>
      </c>
      <c r="Q13" s="1937"/>
      <c r="R13" s="1359" t="str">
        <f>F13</f>
        <v>FEB. 28, 2025</v>
      </c>
      <c r="S13" s="295"/>
      <c r="T13" s="295"/>
      <c r="U13" s="295"/>
      <c r="V13" s="1938" t="str">
        <f>D13</f>
        <v>FEB. 2025</v>
      </c>
      <c r="W13" s="1938"/>
      <c r="X13" s="1938" t="str">
        <f>F13</f>
        <v>FEB. 28, 2025</v>
      </c>
      <c r="Y13" s="1938"/>
      <c r="Z13" s="1934"/>
      <c r="AA13" s="1934"/>
      <c r="AB13" s="1937" t="str">
        <f>'Exhibit A'!AB12</f>
        <v>FEB. 2024</v>
      </c>
      <c r="AC13" s="1937"/>
      <c r="AD13" s="1937" t="str">
        <f>'Exhibit A'!AD12</f>
        <v>FEB. 29, 2024</v>
      </c>
      <c r="AE13" s="1937"/>
      <c r="AF13" s="1934"/>
      <c r="AG13" s="1938"/>
      <c r="AH13" s="1359" t="s">
        <v>112</v>
      </c>
      <c r="AI13" s="1937"/>
      <c r="AJ13" s="1359" t="s">
        <v>113</v>
      </c>
      <c r="AK13" s="1936"/>
      <c r="AL13" s="1924"/>
    </row>
    <row r="14" spans="1:39" ht="15.5">
      <c r="A14" s="294"/>
      <c r="B14" s="294"/>
      <c r="C14" s="294"/>
      <c r="D14" s="294"/>
      <c r="E14" s="294"/>
      <c r="F14" s="294"/>
      <c r="G14" s="294"/>
      <c r="H14" s="294"/>
      <c r="I14" s="294"/>
      <c r="J14" s="294"/>
      <c r="K14" s="294"/>
      <c r="L14" s="294"/>
      <c r="M14" s="294"/>
      <c r="N14" s="294"/>
      <c r="O14" s="294"/>
      <c r="P14" s="294"/>
      <c r="Q14" s="294"/>
      <c r="R14" s="294"/>
      <c r="S14" s="294"/>
      <c r="T14" s="1939"/>
      <c r="U14" s="1939"/>
      <c r="V14" s="1940"/>
      <c r="W14" s="294"/>
      <c r="X14" s="1940"/>
      <c r="Y14" s="294"/>
      <c r="Z14" s="1941"/>
      <c r="AA14" s="294"/>
      <c r="AB14" s="1940"/>
      <c r="AC14" s="294"/>
      <c r="AD14" s="1940"/>
      <c r="AE14" s="294"/>
      <c r="AF14" s="2037"/>
      <c r="AG14" s="294"/>
      <c r="AH14" s="294"/>
      <c r="AI14" s="294"/>
      <c r="AK14" s="1924"/>
      <c r="AL14" s="1924"/>
    </row>
    <row r="15" spans="1:39" ht="18" customHeight="1">
      <c r="A15" s="1360" t="s">
        <v>296</v>
      </c>
      <c r="B15" s="1361"/>
      <c r="C15" s="1361"/>
      <c r="D15" s="294"/>
      <c r="E15" s="294"/>
      <c r="F15" s="294"/>
      <c r="G15" s="294"/>
      <c r="H15" s="294"/>
      <c r="I15" s="294"/>
      <c r="J15" s="294"/>
      <c r="K15" s="294"/>
      <c r="L15" s="294"/>
      <c r="M15" s="294"/>
      <c r="N15" s="294"/>
      <c r="O15" s="294"/>
      <c r="P15" s="294"/>
      <c r="Q15" s="294"/>
      <c r="R15" s="294"/>
      <c r="S15" s="294"/>
      <c r="T15" s="1939"/>
      <c r="U15" s="1939"/>
      <c r="V15" s="294"/>
      <c r="W15" s="294"/>
      <c r="X15" s="294"/>
      <c r="Y15" s="294"/>
      <c r="Z15" s="1941"/>
      <c r="AA15" s="294"/>
      <c r="AB15" s="294"/>
      <c r="AC15" s="294"/>
      <c r="AD15" s="294"/>
      <c r="AE15" s="294"/>
      <c r="AF15" s="2037"/>
      <c r="AG15" s="294"/>
      <c r="AH15" s="294"/>
      <c r="AI15" s="294"/>
      <c r="AK15" s="1924"/>
      <c r="AL15" s="1924"/>
    </row>
    <row r="16" spans="1:39" ht="18" customHeight="1">
      <c r="A16" s="1361" t="s">
        <v>297</v>
      </c>
      <c r="B16" s="1361"/>
      <c r="C16" s="1344"/>
      <c r="D16" s="1381">
        <f>'Exhibit F'!X18</f>
        <v>7382.5999999999985</v>
      </c>
      <c r="E16" s="1381"/>
      <c r="F16" s="1381">
        <f>'Exhibit F'!AC18</f>
        <v>52998</v>
      </c>
      <c r="G16" s="1381"/>
      <c r="H16" s="1942">
        <v>0</v>
      </c>
      <c r="I16" s="1381"/>
      <c r="J16" s="1942">
        <v>0</v>
      </c>
      <c r="K16" s="1381"/>
      <c r="L16" s="1942">
        <v>0</v>
      </c>
      <c r="M16" s="1381"/>
      <c r="N16" s="1942">
        <v>0</v>
      </c>
      <c r="O16" s="1381"/>
      <c r="P16" s="1942">
        <v>0</v>
      </c>
      <c r="Q16" s="1381"/>
      <c r="R16" s="1942">
        <v>0</v>
      </c>
      <c r="S16" s="1381"/>
      <c r="T16" s="1943"/>
      <c r="U16" s="1944"/>
      <c r="V16" s="1945">
        <f>SUM(D16)+SUM(H16)+SUM(L16)+SUM(P16)</f>
        <v>7382.5999999999985</v>
      </c>
      <c r="W16" s="1381"/>
      <c r="X16" s="1945">
        <f>SUM(F16)+SUM(J16)+SUM(N16)+SUM(R16)</f>
        <v>52998</v>
      </c>
      <c r="Y16" s="1942"/>
      <c r="Z16" s="1946"/>
      <c r="AA16" s="1381"/>
      <c r="AB16" s="2070">
        <v>6204.8</v>
      </c>
      <c r="AC16" s="1381"/>
      <c r="AD16" s="1945">
        <f>'Cashflow Governmental'!AE21</f>
        <v>48602.6</v>
      </c>
      <c r="AE16" s="1945"/>
      <c r="AF16" s="2037"/>
      <c r="AG16" s="1942"/>
      <c r="AH16" s="1945">
        <f>ROUND(SUM(X16)-SUM(AD16),1)</f>
        <v>4395.3999999999996</v>
      </c>
      <c r="AI16" s="1342"/>
      <c r="AJ16" s="1947">
        <f>ROUND(AH16/AD16,3)</f>
        <v>0.09</v>
      </c>
      <c r="AK16" s="1948"/>
      <c r="AL16" s="1924"/>
      <c r="AM16" s="1949"/>
    </row>
    <row r="17" spans="1:39" ht="18" customHeight="1">
      <c r="A17" s="1362" t="s">
        <v>298</v>
      </c>
      <c r="B17" s="1361"/>
      <c r="C17" s="777"/>
      <c r="D17" s="263">
        <f>'Exhibit F'!X19</f>
        <v>118.69999999999891</v>
      </c>
      <c r="E17" s="263"/>
      <c r="F17" s="263">
        <f>'Exhibit F'!AC19</f>
        <v>12182.8</v>
      </c>
      <c r="G17" s="263"/>
      <c r="H17" s="265">
        <v>0</v>
      </c>
      <c r="I17" s="1950"/>
      <c r="J17" s="265">
        <v>0</v>
      </c>
      <c r="K17" s="263"/>
      <c r="L17" s="265">
        <v>0</v>
      </c>
      <c r="M17" s="1950"/>
      <c r="N17" s="265">
        <v>0</v>
      </c>
      <c r="O17" s="263"/>
      <c r="P17" s="265">
        <v>0</v>
      </c>
      <c r="Q17" s="1950"/>
      <c r="R17" s="265">
        <v>0</v>
      </c>
      <c r="S17" s="263"/>
      <c r="T17" s="1951"/>
      <c r="U17" s="1951"/>
      <c r="V17" s="1950">
        <f t="shared" ref="V17:V20" si="0">SUM(D17)+SUM(H17)+SUM(L17)+SUM(P17)</f>
        <v>118.69999999999891</v>
      </c>
      <c r="W17" s="263"/>
      <c r="X17" s="1950">
        <f t="shared" ref="X17:X23" si="1">SUM(F17)+SUM(J17)+SUM(N17)+SUM(R17)</f>
        <v>12182.8</v>
      </c>
      <c r="Y17" s="1952"/>
      <c r="Z17" s="1953"/>
      <c r="AA17" s="263"/>
      <c r="AB17" s="523">
        <v>104.7</v>
      </c>
      <c r="AC17" s="263"/>
      <c r="AD17" s="1950">
        <f>'Cashflow Governmental'!AE22</f>
        <v>10685.8</v>
      </c>
      <c r="AE17" s="1950"/>
      <c r="AF17" s="2037"/>
      <c r="AG17" s="1952"/>
      <c r="AH17" s="1950">
        <f>ROUND(SUM(X17)-SUM(AD17),1)</f>
        <v>1497</v>
      </c>
      <c r="AI17" s="1347"/>
      <c r="AJ17" s="1948">
        <f>ROUND(AH17/AD17,3)</f>
        <v>0.14000000000000001</v>
      </c>
      <c r="AK17" s="1948"/>
      <c r="AL17" s="1924"/>
      <c r="AM17" s="1949"/>
    </row>
    <row r="18" spans="1:39" ht="18" customHeight="1">
      <c r="A18" s="1361" t="s">
        <v>299</v>
      </c>
      <c r="B18" s="1361" t="s">
        <v>103</v>
      </c>
      <c r="C18" s="1361"/>
      <c r="D18" s="263">
        <f>'Exhibit F'!X20</f>
        <v>105.80000000000018</v>
      </c>
      <c r="E18" s="263"/>
      <c r="F18" s="263">
        <f>'Exhibit F'!AC20</f>
        <v>3462.4</v>
      </c>
      <c r="G18" s="263"/>
      <c r="H18" s="265">
        <v>0</v>
      </c>
      <c r="I18" s="1950"/>
      <c r="J18" s="265">
        <v>0</v>
      </c>
      <c r="K18" s="263"/>
      <c r="L18" s="265">
        <v>0</v>
      </c>
      <c r="M18" s="1950"/>
      <c r="N18" s="265">
        <v>0</v>
      </c>
      <c r="O18" s="263"/>
      <c r="P18" s="265">
        <v>0</v>
      </c>
      <c r="Q18" s="1950"/>
      <c r="R18" s="265">
        <v>0</v>
      </c>
      <c r="S18" s="263"/>
      <c r="T18" s="1951"/>
      <c r="U18" s="1951"/>
      <c r="V18" s="1950">
        <f t="shared" si="0"/>
        <v>105.80000000000018</v>
      </c>
      <c r="W18" s="263"/>
      <c r="X18" s="1950">
        <f t="shared" si="1"/>
        <v>3462.4</v>
      </c>
      <c r="Y18" s="1952"/>
      <c r="Z18" s="1953"/>
      <c r="AA18" s="263"/>
      <c r="AB18" s="523">
        <v>88.6</v>
      </c>
      <c r="AC18" s="263"/>
      <c r="AD18" s="1950">
        <f>'Cashflow Governmental'!AE23</f>
        <v>3527</v>
      </c>
      <c r="AE18" s="1950"/>
      <c r="AF18" s="2037"/>
      <c r="AG18" s="1952"/>
      <c r="AH18" s="1950">
        <f>ROUND(SUM(X18)-SUM(AD18),1)</f>
        <v>-64.599999999999994</v>
      </c>
      <c r="AI18" s="1347"/>
      <c r="AJ18" s="1948">
        <f>ROUND(AH18/AD18,3)</f>
        <v>-1.7999999999999999E-2</v>
      </c>
      <c r="AK18" s="1948"/>
      <c r="AL18" s="1924"/>
      <c r="AM18" s="1949"/>
    </row>
    <row r="19" spans="1:39" ht="18" customHeight="1">
      <c r="A19" s="1362" t="s">
        <v>300</v>
      </c>
      <c r="B19" s="1361"/>
      <c r="C19" s="1361"/>
      <c r="D19" s="263">
        <f>'Exhibit F'!X21</f>
        <v>-54.400000000000091</v>
      </c>
      <c r="E19" s="263"/>
      <c r="F19" s="263">
        <f>'Exhibit F'!AC21</f>
        <v>-1286.9000000000001</v>
      </c>
      <c r="G19" s="263"/>
      <c r="H19" s="265">
        <v>0</v>
      </c>
      <c r="I19" s="1950"/>
      <c r="J19" s="265">
        <v>0</v>
      </c>
      <c r="K19" s="263"/>
      <c r="L19" s="265">
        <v>0</v>
      </c>
      <c r="M19" s="1950"/>
      <c r="N19" s="265">
        <v>0</v>
      </c>
      <c r="O19" s="263"/>
      <c r="P19" s="265">
        <v>0</v>
      </c>
      <c r="Q19" s="1950"/>
      <c r="R19" s="265">
        <v>0</v>
      </c>
      <c r="S19" s="263"/>
      <c r="T19" s="1951"/>
      <c r="U19" s="1951"/>
      <c r="V19" s="1950">
        <f t="shared" si="0"/>
        <v>-54.400000000000091</v>
      </c>
      <c r="W19" s="263"/>
      <c r="X19" s="1950">
        <f t="shared" si="1"/>
        <v>-1286.9000000000001</v>
      </c>
      <c r="Y19" s="1952"/>
      <c r="Z19" s="1953"/>
      <c r="AA19" s="263"/>
      <c r="AB19" s="523">
        <v>-92.3</v>
      </c>
      <c r="AC19" s="263"/>
      <c r="AD19" s="1950">
        <f>'Cashflow Governmental'!AE24</f>
        <v>-1156.7</v>
      </c>
      <c r="AE19" s="1950"/>
      <c r="AF19" s="2037"/>
      <c r="AG19" s="1952"/>
      <c r="AH19" s="1950">
        <f>-ROUND(SUM(X19)-SUM(AD19),1)</f>
        <v>130.19999999999999</v>
      </c>
      <c r="AI19" s="1347"/>
      <c r="AJ19" s="1948">
        <f>-ROUND(AH19/AD19,3)</f>
        <v>0.113</v>
      </c>
      <c r="AK19" s="1948"/>
      <c r="AL19" s="1924"/>
      <c r="AM19" s="1949"/>
    </row>
    <row r="20" spans="1:39" ht="18" customHeight="1">
      <c r="A20" s="1362" t="s">
        <v>301</v>
      </c>
      <c r="B20" s="1361" t="s">
        <v>103</v>
      </c>
      <c r="C20" s="1361"/>
      <c r="D20" s="263">
        <f>'Exhibit F'!X22</f>
        <v>160.40000000000009</v>
      </c>
      <c r="E20" s="263"/>
      <c r="F20" s="263">
        <f>'Exhibit F'!AC22</f>
        <v>1641.4</v>
      </c>
      <c r="G20" s="263"/>
      <c r="H20" s="265">
        <v>0</v>
      </c>
      <c r="I20" s="1950"/>
      <c r="J20" s="265">
        <v>0</v>
      </c>
      <c r="K20" s="263"/>
      <c r="L20" s="265">
        <v>0</v>
      </c>
      <c r="M20" s="1950"/>
      <c r="N20" s="265">
        <v>0</v>
      </c>
      <c r="O20" s="263"/>
      <c r="P20" s="265">
        <v>0</v>
      </c>
      <c r="Q20" s="1950"/>
      <c r="R20" s="265">
        <v>0</v>
      </c>
      <c r="S20" s="263"/>
      <c r="T20" s="1951"/>
      <c r="U20" s="1951"/>
      <c r="V20" s="1950">
        <f t="shared" si="0"/>
        <v>160.40000000000009</v>
      </c>
      <c r="W20" s="263"/>
      <c r="X20" s="1950">
        <f t="shared" si="1"/>
        <v>1641.4</v>
      </c>
      <c r="Y20" s="1952"/>
      <c r="Z20" s="1953"/>
      <c r="AA20" s="263"/>
      <c r="AB20" s="523">
        <v>162.69999999999999</v>
      </c>
      <c r="AC20" s="263"/>
      <c r="AD20" s="1950">
        <f>'Cashflow Governmental'!AE25</f>
        <v>1563.3</v>
      </c>
      <c r="AE20" s="1950"/>
      <c r="AF20" s="2037"/>
      <c r="AG20" s="1952"/>
      <c r="AH20" s="1950">
        <f>ROUND(SUM(X20)-SUM(AD20),1)</f>
        <v>78.099999999999994</v>
      </c>
      <c r="AI20" s="1347"/>
      <c r="AJ20" s="1954">
        <f>ROUND(AH20/AD20,3)</f>
        <v>0.05</v>
      </c>
      <c r="AK20" s="1948"/>
      <c r="AL20" s="1924"/>
      <c r="AM20" s="1949"/>
    </row>
    <row r="21" spans="1:39" s="1363" customFormat="1" ht="18" customHeight="1">
      <c r="A21" s="1360" t="s">
        <v>302</v>
      </c>
      <c r="B21" s="1360"/>
      <c r="C21" s="1360"/>
      <c r="D21" s="1382">
        <f>ROUND(SUM(D16:D20),1)</f>
        <v>7713.1</v>
      </c>
      <c r="E21" s="1"/>
      <c r="F21" s="1382">
        <f>ROUND(SUM(F16:F20),1)</f>
        <v>68997.7</v>
      </c>
      <c r="G21" s="1"/>
      <c r="H21" s="1382">
        <f>ROUND(SUM(H16:H20),1)</f>
        <v>0</v>
      </c>
      <c r="I21" s="1955"/>
      <c r="J21" s="1382">
        <f>ROUND(SUM(J16:J20),1)</f>
        <v>0</v>
      </c>
      <c r="K21" s="1"/>
      <c r="L21" s="1382">
        <f>ROUND(SUM(L16:L20),1)</f>
        <v>0</v>
      </c>
      <c r="M21" s="1955"/>
      <c r="N21" s="1382">
        <f>ROUND(SUM(N16:N20),1)</f>
        <v>0</v>
      </c>
      <c r="O21" s="1"/>
      <c r="P21" s="1382">
        <f>ROUND(SUM(P16:P20),1)</f>
        <v>0</v>
      </c>
      <c r="Q21" s="1955"/>
      <c r="R21" s="1382">
        <f>ROUND(SUM(R16:R20),1)</f>
        <v>0</v>
      </c>
      <c r="S21" s="1"/>
      <c r="T21" s="1956"/>
      <c r="U21" s="1956"/>
      <c r="V21" s="1957">
        <f>ROUND(SUM(V16:V20),1)</f>
        <v>7713.1</v>
      </c>
      <c r="W21" s="1"/>
      <c r="X21" s="1957">
        <f>ROUND(SUM(X16:X20),1)</f>
        <v>68997.7</v>
      </c>
      <c r="Y21" s="1958"/>
      <c r="Z21" s="1959"/>
      <c r="AA21" s="1"/>
      <c r="AB21" s="72">
        <f>ROUND(SUM(AB16:AB20),1)</f>
        <v>6468.5</v>
      </c>
      <c r="AC21" s="1"/>
      <c r="AD21" s="1960">
        <f>ROUND(SUM(AD16:AD20),1)</f>
        <v>63222</v>
      </c>
      <c r="AE21" s="1955"/>
      <c r="AF21" s="2037"/>
      <c r="AG21" s="1958"/>
      <c r="AH21" s="1960">
        <f>ROUND(SUM(X21)-SUM(AD21),1)</f>
        <v>5775.7</v>
      </c>
      <c r="AI21" s="1346"/>
      <c r="AJ21" s="1961">
        <f>ROUND(AH21/AD21,3)</f>
        <v>9.0999999999999998E-2</v>
      </c>
      <c r="AK21" s="1962"/>
      <c r="AL21" s="1963"/>
      <c r="AM21" s="1964"/>
    </row>
    <row r="22" spans="1:39" ht="18" customHeight="1">
      <c r="A22" s="1362" t="s">
        <v>303</v>
      </c>
      <c r="B22" s="1361"/>
      <c r="C22" s="1361"/>
      <c r="D22" s="523">
        <f>'Exhibit F'!X24</f>
        <v>0</v>
      </c>
      <c r="E22" s="1950"/>
      <c r="F22" s="523">
        <f>'Exhibit F'!AC24</f>
        <v>-1444.1</v>
      </c>
      <c r="G22" s="263"/>
      <c r="H22" s="263">
        <f>'Exhibit G'!X17</f>
        <v>0</v>
      </c>
      <c r="I22" s="1950"/>
      <c r="J22" s="523">
        <f>'Exhibit G'!AE17</f>
        <v>1444.1</v>
      </c>
      <c r="K22" s="263"/>
      <c r="L22" s="1036">
        <v>0</v>
      </c>
      <c r="M22" s="1950"/>
      <c r="N22" s="1036">
        <v>0</v>
      </c>
      <c r="O22" s="263"/>
      <c r="P22" s="1036">
        <v>0</v>
      </c>
      <c r="Q22" s="1950"/>
      <c r="R22" s="1036">
        <v>0</v>
      </c>
      <c r="S22" s="263"/>
      <c r="T22" s="1951"/>
      <c r="U22" s="1951"/>
      <c r="V22" s="1965">
        <f>SUM(D22)+SUM(H22)+SUM(L22)+SUM(P22)</f>
        <v>0</v>
      </c>
      <c r="W22" s="263"/>
      <c r="X22" s="1965">
        <f t="shared" si="1"/>
        <v>0</v>
      </c>
      <c r="Y22" s="1952"/>
      <c r="Z22" s="1953"/>
      <c r="AA22" s="263"/>
      <c r="AB22" s="523">
        <v>0</v>
      </c>
      <c r="AC22" s="263"/>
      <c r="AD22" s="1950">
        <f>'Cashflow Governmental'!AE27</f>
        <v>0</v>
      </c>
      <c r="AE22" s="265"/>
      <c r="AF22" s="2037"/>
      <c r="AG22" s="1952"/>
      <c r="AH22" s="265">
        <f>ROUND(SUM(X22)-SUM(AD22),1)</f>
        <v>0</v>
      </c>
      <c r="AI22" s="1347"/>
      <c r="AJ22" s="276">
        <f>ROUND(IF(AD22=0,0,AH22/(AD22)),3)</f>
        <v>0</v>
      </c>
      <c r="AK22" s="1966"/>
      <c r="AL22" s="1924"/>
      <c r="AM22" s="1949"/>
    </row>
    <row r="23" spans="1:39" ht="18" customHeight="1">
      <c r="A23" s="1362" t="s">
        <v>304</v>
      </c>
      <c r="B23" s="1361"/>
      <c r="C23" s="1361"/>
      <c r="D23" s="1136">
        <f>'Exhibit F'!X25</f>
        <v>-3114.4000000000015</v>
      </c>
      <c r="E23" s="263"/>
      <c r="F23" s="523">
        <f>'Exhibit F'!AC25</f>
        <v>-28035.7</v>
      </c>
      <c r="G23" s="263"/>
      <c r="H23" s="265">
        <v>0</v>
      </c>
      <c r="I23" s="1950"/>
      <c r="J23" s="265">
        <v>0</v>
      </c>
      <c r="K23" s="263"/>
      <c r="L23" s="1950">
        <f>'Exhibit H'!V17</f>
        <v>3114.4000000000015</v>
      </c>
      <c r="M23" s="1950"/>
      <c r="N23" s="1950">
        <f>'Exhibit H'!AA17</f>
        <v>28035.7</v>
      </c>
      <c r="O23" s="263"/>
      <c r="P23" s="265">
        <v>0</v>
      </c>
      <c r="Q23" s="1950"/>
      <c r="R23" s="265">
        <v>0</v>
      </c>
      <c r="S23" s="263"/>
      <c r="T23" s="1951"/>
      <c r="U23" s="1951"/>
      <c r="V23" s="1950">
        <f>ROUND(SUM(D23)+SUM(H23)+SUM(L23)+SUM(P23),1)</f>
        <v>0</v>
      </c>
      <c r="W23" s="263"/>
      <c r="X23" s="1950">
        <f t="shared" si="1"/>
        <v>0</v>
      </c>
      <c r="Y23" s="1952"/>
      <c r="Z23" s="1953"/>
      <c r="AA23" s="263"/>
      <c r="AB23" s="523">
        <v>0</v>
      </c>
      <c r="AC23" s="263"/>
      <c r="AD23" s="1950">
        <f>'Cashflow Governmental'!AE28</f>
        <v>0</v>
      </c>
      <c r="AE23" s="265"/>
      <c r="AF23" s="2037"/>
      <c r="AG23" s="1952"/>
      <c r="AH23" s="265">
        <f>ROUND(SUM(X23)-SUM(AD23),1)</f>
        <v>0</v>
      </c>
      <c r="AI23" s="1347"/>
      <c r="AJ23" s="276">
        <f>ROUND(IF(AD23=0,0,AH23/(AD23)),3)</f>
        <v>0</v>
      </c>
      <c r="AK23" s="1966"/>
      <c r="AL23" s="1924"/>
      <c r="AM23" s="1949"/>
    </row>
    <row r="24" spans="1:39" ht="18" customHeight="1">
      <c r="A24" s="1361" t="s">
        <v>305</v>
      </c>
      <c r="B24" s="1361"/>
      <c r="C24" s="1361"/>
      <c r="D24" s="1136">
        <f>'Exhibit F'!X26</f>
        <v>-1484.3999999999996</v>
      </c>
      <c r="E24" s="263"/>
      <c r="F24" s="523">
        <f>'Exhibit F'!AC26</f>
        <v>-12926.3</v>
      </c>
      <c r="G24" s="263"/>
      <c r="H24" s="265">
        <v>0</v>
      </c>
      <c r="I24" s="1950"/>
      <c r="J24" s="265">
        <v>0</v>
      </c>
      <c r="K24" s="263"/>
      <c r="L24" s="265">
        <v>0</v>
      </c>
      <c r="M24" s="1950"/>
      <c r="N24" s="265">
        <v>0</v>
      </c>
      <c r="O24" s="263"/>
      <c r="P24" s="265">
        <v>0</v>
      </c>
      <c r="Q24" s="1950"/>
      <c r="R24" s="265">
        <v>0</v>
      </c>
      <c r="S24" s="263"/>
      <c r="T24" s="1951"/>
      <c r="U24" s="1951"/>
      <c r="V24" s="1950">
        <f>SUM(D24)+SUM(H24)+SUM(L24)+SUM(P24)</f>
        <v>-1484.3999999999996</v>
      </c>
      <c r="W24" s="263"/>
      <c r="X24" s="1950">
        <f>SUM(F24)+SUM(J24)+SUM(N24)+SUM(R24)</f>
        <v>-12926.3</v>
      </c>
      <c r="Y24" s="1952"/>
      <c r="Z24" s="1953"/>
      <c r="AA24" s="263"/>
      <c r="AB24" s="523">
        <v>-1458.9</v>
      </c>
      <c r="AC24" s="263"/>
      <c r="AD24" s="1950">
        <f>'Cashflow Governmental'!AE29</f>
        <v>-13707.2</v>
      </c>
      <c r="AE24" s="1950"/>
      <c r="AF24" s="2037"/>
      <c r="AG24" s="1952"/>
      <c r="AH24" s="1950">
        <f>-ROUND(SUM(X24)-SUM(AD24),1)</f>
        <v>-780.9</v>
      </c>
      <c r="AI24" s="1347"/>
      <c r="AJ24" s="1967">
        <f>-ROUND(AH24/AD24,3)</f>
        <v>-5.7000000000000002E-2</v>
      </c>
      <c r="AK24" s="1948"/>
      <c r="AL24" s="1924"/>
      <c r="AM24" s="1949"/>
    </row>
    <row r="25" spans="1:39" ht="18" customHeight="1">
      <c r="A25" s="1364" t="s">
        <v>306</v>
      </c>
      <c r="B25" s="1361"/>
      <c r="C25" s="1361"/>
      <c r="D25" s="1383">
        <f>ROUND(SUM(D21:D24),1)</f>
        <v>3114.3</v>
      </c>
      <c r="E25" s="1"/>
      <c r="F25" s="1383">
        <f>ROUND(SUM(F21:F24),1)</f>
        <v>26591.599999999999</v>
      </c>
      <c r="G25" s="1"/>
      <c r="H25" s="1037">
        <f>ROUND(SUM(H21:H24),1)</f>
        <v>0</v>
      </c>
      <c r="I25" s="1955"/>
      <c r="J25" s="1037">
        <f>ROUND(SUM(J21:J24),1)</f>
        <v>1444.1</v>
      </c>
      <c r="K25" s="1"/>
      <c r="L25" s="1037">
        <f>ROUND(SUM(L21:L24),1)</f>
        <v>3114.4</v>
      </c>
      <c r="M25" s="1955"/>
      <c r="N25" s="1037">
        <f>ROUND(SUM(N21:N24),1)</f>
        <v>28035.7</v>
      </c>
      <c r="O25" s="1"/>
      <c r="P25" s="1037">
        <f>ROUND(SUM(P21:P24),1)</f>
        <v>0</v>
      </c>
      <c r="Q25" s="1955"/>
      <c r="R25" s="1037">
        <f>ROUND(SUM(R21:R24),1)</f>
        <v>0</v>
      </c>
      <c r="S25" s="1"/>
      <c r="T25" s="1956"/>
      <c r="U25" s="1956"/>
      <c r="V25" s="1957">
        <f>ROUND(SUM(V21:V24),1)</f>
        <v>6228.7</v>
      </c>
      <c r="W25" s="1"/>
      <c r="X25" s="1957">
        <f>ROUND(SUM(X21:X24),1)</f>
        <v>56071.4</v>
      </c>
      <c r="Y25" s="1968"/>
      <c r="Z25" s="1959"/>
      <c r="AA25" s="1"/>
      <c r="AB25" s="2071">
        <f>ROUND(SUM(AB21:AB24),1)</f>
        <v>5009.6000000000004</v>
      </c>
      <c r="AC25" s="1"/>
      <c r="AD25" s="1957">
        <f>ROUND(SUM(AD21:AD24),1)</f>
        <v>49514.8</v>
      </c>
      <c r="AE25" s="1" t="s">
        <v>103</v>
      </c>
      <c r="AF25" s="2037"/>
      <c r="AG25" s="1958"/>
      <c r="AH25" s="1969">
        <f>ROUND(SUM(X25)-SUM(AD25),1)</f>
        <v>6556.6</v>
      </c>
      <c r="AI25" s="1346"/>
      <c r="AJ25" s="1970">
        <f>ROUND(AH25/AD25,3)</f>
        <v>0.13200000000000001</v>
      </c>
      <c r="AK25" s="1962"/>
      <c r="AL25" s="1963"/>
      <c r="AM25" s="1949"/>
    </row>
    <row r="26" spans="1:39" ht="18" customHeight="1">
      <c r="A26" s="1361"/>
      <c r="B26" s="1361"/>
      <c r="C26" s="1361"/>
      <c r="D26" s="1384"/>
      <c r="E26" s="263"/>
      <c r="F26" s="1384" t="s">
        <v>103</v>
      </c>
      <c r="G26" s="263"/>
      <c r="H26" s="1384"/>
      <c r="I26" s="263"/>
      <c r="J26" s="1384" t="s">
        <v>237</v>
      </c>
      <c r="K26" s="263"/>
      <c r="L26" s="1384" t="s">
        <v>103</v>
      </c>
      <c r="M26" s="263"/>
      <c r="N26" s="1384" t="s">
        <v>103</v>
      </c>
      <c r="O26" s="263"/>
      <c r="P26" s="1384"/>
      <c r="Q26" s="263"/>
      <c r="R26" s="1384"/>
      <c r="S26" s="263"/>
      <c r="T26" s="1951"/>
      <c r="U26" s="1951"/>
      <c r="V26" s="1384"/>
      <c r="W26" s="263"/>
      <c r="X26" s="1384"/>
      <c r="Y26" s="263"/>
      <c r="Z26" s="1953"/>
      <c r="AA26" s="263"/>
      <c r="AB26" s="1384"/>
      <c r="AC26" s="263"/>
      <c r="AD26" s="1384"/>
      <c r="AE26" s="263"/>
      <c r="AF26" s="2037"/>
      <c r="AG26" s="263"/>
      <c r="AH26" s="263"/>
      <c r="AI26" s="1342"/>
      <c r="AJ26" s="1971"/>
      <c r="AK26" s="1966"/>
      <c r="AL26" s="1924"/>
      <c r="AM26" s="1949"/>
    </row>
    <row r="27" spans="1:39" ht="18" customHeight="1">
      <c r="A27" s="1364" t="s">
        <v>307</v>
      </c>
      <c r="B27" s="1361"/>
      <c r="C27" s="777"/>
      <c r="D27" s="1385"/>
      <c r="E27" s="263"/>
      <c r="F27" s="263"/>
      <c r="G27" s="263"/>
      <c r="H27" s="263"/>
      <c r="I27" s="263"/>
      <c r="J27" s="263"/>
      <c r="K27" s="263"/>
      <c r="L27" s="263"/>
      <c r="M27" s="263"/>
      <c r="N27" s="263"/>
      <c r="O27" s="263"/>
      <c r="P27" s="263"/>
      <c r="Q27" s="263"/>
      <c r="R27" s="263"/>
      <c r="S27" s="263"/>
      <c r="T27" s="1951"/>
      <c r="U27" s="1951"/>
      <c r="V27" s="263"/>
      <c r="W27" s="263"/>
      <c r="X27" s="263"/>
      <c r="Y27" s="263"/>
      <c r="Z27" s="1953"/>
      <c r="AA27" s="263"/>
      <c r="AB27" s="263"/>
      <c r="AC27" s="263"/>
      <c r="AD27" s="263"/>
      <c r="AE27" s="263"/>
      <c r="AF27" s="2037"/>
      <c r="AG27" s="263"/>
      <c r="AH27" s="263"/>
      <c r="AI27" s="1342"/>
      <c r="AJ27" s="1971"/>
      <c r="AK27" s="1966"/>
      <c r="AL27" s="1924"/>
      <c r="AM27" s="1949"/>
    </row>
    <row r="28" spans="1:39" ht="18" customHeight="1">
      <c r="A28" s="1361" t="s">
        <v>308</v>
      </c>
      <c r="B28" s="1361"/>
      <c r="C28" s="1361"/>
      <c r="D28" s="263">
        <f>'Exhibit F'!X29</f>
        <v>687.09999999999945</v>
      </c>
      <c r="E28" s="263"/>
      <c r="F28" s="263">
        <f>'Exhibit F'!AC29</f>
        <v>8693.7999999999993</v>
      </c>
      <c r="G28" s="263"/>
      <c r="H28" s="263">
        <f>'Exhibit G'!X20</f>
        <v>95.200000000000045</v>
      </c>
      <c r="I28" s="263"/>
      <c r="J28" s="263">
        <f>'Exhibit G'!AE20</f>
        <v>1249.2</v>
      </c>
      <c r="K28" s="263"/>
      <c r="L28" s="1950">
        <f>'Exhibit H'!V20</f>
        <v>686.80000000000018</v>
      </c>
      <c r="M28" s="1950"/>
      <c r="N28" s="1950">
        <f>'Exhibit H'!AA20</f>
        <v>8688.6</v>
      </c>
      <c r="O28" s="263"/>
      <c r="P28" s="265">
        <v>0</v>
      </c>
      <c r="Q28" s="1950"/>
      <c r="R28" s="265">
        <v>0</v>
      </c>
      <c r="S28" s="263"/>
      <c r="T28" s="1951"/>
      <c r="U28" s="1951"/>
      <c r="V28" s="1950">
        <f t="shared" ref="V28:V34" si="2">SUM(D28)+SUM(H28)+SUM(L28)+SUM(P28)</f>
        <v>1469.0999999999997</v>
      </c>
      <c r="W28" s="263"/>
      <c r="X28" s="1950">
        <f t="shared" ref="X28:X35" si="3">SUM(F28)+SUM(J28)+SUM(N28)+SUM(R28)</f>
        <v>18631.599999999999</v>
      </c>
      <c r="Y28" s="263"/>
      <c r="Z28" s="1953"/>
      <c r="AA28" s="263"/>
      <c r="AB28" s="2072">
        <v>1429.8999999999999</v>
      </c>
      <c r="AC28" s="263"/>
      <c r="AD28" s="1950">
        <f>'Cashflow Governmental'!AE32</f>
        <v>18159.2</v>
      </c>
      <c r="AE28" s="1950"/>
      <c r="AF28" s="2037"/>
      <c r="AG28" s="263"/>
      <c r="AH28" s="263">
        <f t="shared" ref="AH28:AH38" si="4">ROUND(SUM(X28)-SUM(AD28),1)</f>
        <v>472.4</v>
      </c>
      <c r="AI28" s="1347"/>
      <c r="AJ28" s="1948">
        <f t="shared" ref="AJ28:AJ38" si="5">ROUND(AH28/AD28,3)</f>
        <v>2.5999999999999999E-2</v>
      </c>
      <c r="AK28" s="1948"/>
      <c r="AL28" s="1924"/>
      <c r="AM28" s="1949"/>
    </row>
    <row r="29" spans="1:39" ht="18" customHeight="1">
      <c r="A29" s="1362" t="s">
        <v>309</v>
      </c>
      <c r="B29" s="1361"/>
      <c r="C29" s="296"/>
      <c r="D29" s="263">
        <f>'Exhibit F'!X30</f>
        <v>0</v>
      </c>
      <c r="E29" s="1950"/>
      <c r="F29" s="263">
        <f>'Exhibit F'!AC30</f>
        <v>0</v>
      </c>
      <c r="G29" s="263"/>
      <c r="H29" s="263">
        <f>'Exhibit G'!X21</f>
        <v>9.9999999999997868E-2</v>
      </c>
      <c r="I29" s="1950"/>
      <c r="J29" s="263">
        <f>'Exhibit G'!AE21</f>
        <v>30.7</v>
      </c>
      <c r="K29" s="263"/>
      <c r="L29" s="265">
        <v>0</v>
      </c>
      <c r="M29" s="1950"/>
      <c r="N29" s="265">
        <v>0</v>
      </c>
      <c r="O29" s="263"/>
      <c r="P29" s="523">
        <f>'Exhibit I'!Y18</f>
        <v>9.9999999999994316E-2</v>
      </c>
      <c r="Q29" s="263"/>
      <c r="R29" s="523">
        <f>'Exhibit I'!AF18</f>
        <v>87.8</v>
      </c>
      <c r="S29" s="263"/>
      <c r="T29" s="1951"/>
      <c r="U29" s="1951"/>
      <c r="V29" s="1950">
        <f t="shared" si="2"/>
        <v>0.19999999999999218</v>
      </c>
      <c r="W29" s="263"/>
      <c r="X29" s="1950">
        <f t="shared" si="3"/>
        <v>118.5</v>
      </c>
      <c r="Y29" s="1952"/>
      <c r="Z29" s="1953"/>
      <c r="AA29" s="263"/>
      <c r="AB29" s="523">
        <v>0.1</v>
      </c>
      <c r="AC29" s="263"/>
      <c r="AD29" s="1950">
        <f>'Cashflow Governmental'!AE33</f>
        <v>113.1</v>
      </c>
      <c r="AE29" s="1950"/>
      <c r="AF29" s="2037"/>
      <c r="AG29" s="1952"/>
      <c r="AH29" s="1950">
        <f t="shared" si="4"/>
        <v>5.4</v>
      </c>
      <c r="AI29" s="1348"/>
      <c r="AJ29" s="1948">
        <f t="shared" si="5"/>
        <v>4.8000000000000001E-2</v>
      </c>
      <c r="AK29" s="1948"/>
      <c r="AL29" s="1924"/>
      <c r="AM29" s="1949"/>
    </row>
    <row r="30" spans="1:39" ht="18" customHeight="1">
      <c r="A30" s="1361" t="s">
        <v>310</v>
      </c>
      <c r="B30" s="1361"/>
      <c r="C30" s="1361"/>
      <c r="D30" s="263">
        <f>'Exhibit F'!X31</f>
        <v>14.599999999999994</v>
      </c>
      <c r="E30" s="263"/>
      <c r="F30" s="263">
        <f>'Exhibit F'!AC31</f>
        <v>234.3</v>
      </c>
      <c r="G30" s="263"/>
      <c r="H30" s="263">
        <f>'Exhibit G'!X22</f>
        <v>31.799999999999955</v>
      </c>
      <c r="I30" s="1950"/>
      <c r="J30" s="263">
        <f>'Exhibit G'!AE22</f>
        <v>528.70000000000005</v>
      </c>
      <c r="K30" s="263"/>
      <c r="L30" s="265">
        <v>0</v>
      </c>
      <c r="M30" s="1950"/>
      <c r="N30" s="265">
        <v>0</v>
      </c>
      <c r="O30" s="263"/>
      <c r="P30" s="265">
        <v>0</v>
      </c>
      <c r="Q30" s="1950"/>
      <c r="R30" s="265">
        <v>0</v>
      </c>
      <c r="S30" s="263"/>
      <c r="T30" s="1951"/>
      <c r="U30" s="1951"/>
      <c r="V30" s="1950">
        <f t="shared" si="2"/>
        <v>46.399999999999949</v>
      </c>
      <c r="W30" s="263"/>
      <c r="X30" s="1950">
        <f t="shared" si="3"/>
        <v>763</v>
      </c>
      <c r="Y30" s="1952"/>
      <c r="Z30" s="1953"/>
      <c r="AA30" s="263"/>
      <c r="AB30" s="523">
        <v>36.700000000000003</v>
      </c>
      <c r="AC30" s="263"/>
      <c r="AD30" s="1950">
        <f>'Cashflow Governmental'!AE34</f>
        <v>801.40000000000009</v>
      </c>
      <c r="AE30" s="523"/>
      <c r="AF30" s="2038"/>
      <c r="AG30" s="1952"/>
      <c r="AH30" s="1950">
        <f t="shared" si="4"/>
        <v>-38.4</v>
      </c>
      <c r="AI30" s="1347"/>
      <c r="AJ30" s="1948">
        <f t="shared" si="5"/>
        <v>-4.8000000000000001E-2</v>
      </c>
      <c r="AK30" s="1948"/>
      <c r="AL30" s="1924"/>
      <c r="AM30" s="1949"/>
    </row>
    <row r="31" spans="1:39" ht="18" customHeight="1">
      <c r="A31" s="1361" t="s">
        <v>311</v>
      </c>
      <c r="B31" s="263"/>
      <c r="C31" s="1361"/>
      <c r="D31" s="263">
        <v>0</v>
      </c>
      <c r="E31" s="263"/>
      <c r="F31" s="263">
        <v>0</v>
      </c>
      <c r="G31" s="263"/>
      <c r="H31" s="263">
        <f>'Exhibit G'!X23</f>
        <v>1.7000000000000028</v>
      </c>
      <c r="I31" s="1950"/>
      <c r="J31" s="263">
        <f>'Exhibit G'!AE23</f>
        <v>89.8</v>
      </c>
      <c r="K31" s="263"/>
      <c r="L31" s="265">
        <v>0</v>
      </c>
      <c r="M31" s="1950"/>
      <c r="N31" s="265">
        <v>0</v>
      </c>
      <c r="O31" s="263"/>
      <c r="P31" s="265">
        <v>0</v>
      </c>
      <c r="Q31" s="1950"/>
      <c r="R31" s="265">
        <v>0</v>
      </c>
      <c r="S31" s="263"/>
      <c r="T31" s="1951"/>
      <c r="U31" s="1951"/>
      <c r="V31" s="1950">
        <f>SUM(D31)+SUM(H31)+SUM(L31)+SUM(P31)</f>
        <v>1.7000000000000028</v>
      </c>
      <c r="W31" s="263"/>
      <c r="X31" s="1950">
        <f>SUM(F31)+SUM(J31)+SUM(N31)+SUM(R31)</f>
        <v>89.8</v>
      </c>
      <c r="Y31" s="1952"/>
      <c r="Z31" s="1953"/>
      <c r="AA31" s="263"/>
      <c r="AB31" s="523">
        <v>1.5</v>
      </c>
      <c r="AC31" s="263"/>
      <c r="AD31" s="1950">
        <f>'Cashflow Governmental'!AE35</f>
        <v>28.599999999999998</v>
      </c>
      <c r="AE31" s="523"/>
      <c r="AF31" s="2038"/>
      <c r="AG31" s="1952"/>
      <c r="AH31" s="1950">
        <f>ROUND(SUM(X31)-SUM(AD31),1)</f>
        <v>61.2</v>
      </c>
      <c r="AI31" s="1347"/>
      <c r="AJ31" s="276">
        <f>ROUND(IF(AD31=0,0,AH31/(AD31)),3)</f>
        <v>2.14</v>
      </c>
      <c r="AK31" s="1948"/>
      <c r="AL31" s="1924"/>
      <c r="AM31" s="1949"/>
    </row>
    <row r="32" spans="1:39" ht="18" customHeight="1">
      <c r="A32" s="1361" t="s">
        <v>312</v>
      </c>
      <c r="B32" s="1361"/>
      <c r="C32" s="1361"/>
      <c r="D32" s="263">
        <f>'Exhibit F'!X32</f>
        <v>0</v>
      </c>
      <c r="E32" s="1950"/>
      <c r="F32" s="263">
        <f>'Exhibit F'!AC32</f>
        <v>0</v>
      </c>
      <c r="G32" s="263"/>
      <c r="H32" s="263">
        <f>'Exhibit G'!X24</f>
        <v>8.5</v>
      </c>
      <c r="I32" s="1950"/>
      <c r="J32" s="263">
        <f>'Exhibit G'!AE24</f>
        <v>95.5</v>
      </c>
      <c r="K32" s="263"/>
      <c r="L32" s="265">
        <v>0</v>
      </c>
      <c r="M32" s="1950"/>
      <c r="N32" s="265">
        <v>0</v>
      </c>
      <c r="O32" s="263"/>
      <c r="P32" s="263">
        <f>'Exhibit I'!Y19</f>
        <v>31.199999999999989</v>
      </c>
      <c r="Q32" s="1950"/>
      <c r="R32" s="263">
        <f>'Exhibit I'!AF19</f>
        <v>352.9</v>
      </c>
      <c r="S32" s="263"/>
      <c r="T32" s="1951"/>
      <c r="U32" s="1951"/>
      <c r="V32" s="1950">
        <f t="shared" si="2"/>
        <v>39.699999999999989</v>
      </c>
      <c r="W32" s="263"/>
      <c r="X32" s="1950">
        <f t="shared" si="3"/>
        <v>448.4</v>
      </c>
      <c r="Y32" s="263"/>
      <c r="Z32" s="1953"/>
      <c r="AA32" s="263"/>
      <c r="AB32" s="523">
        <v>34.1</v>
      </c>
      <c r="AC32" s="263"/>
      <c r="AD32" s="1950">
        <f>'Cashflow Governmental'!AE36</f>
        <v>449.6</v>
      </c>
      <c r="AE32" s="1950"/>
      <c r="AF32" s="2038"/>
      <c r="AG32" s="263"/>
      <c r="AH32" s="1950">
        <f t="shared" si="4"/>
        <v>-1.2</v>
      </c>
      <c r="AI32" s="1342"/>
      <c r="AJ32" s="1948">
        <f t="shared" si="5"/>
        <v>-3.0000000000000001E-3</v>
      </c>
      <c r="AK32" s="1948"/>
      <c r="AL32" s="1924"/>
      <c r="AM32" s="1949"/>
    </row>
    <row r="33" spans="1:39" ht="18" customHeight="1">
      <c r="A33" s="432" t="s">
        <v>313</v>
      </c>
      <c r="B33" s="1361"/>
      <c r="C33" s="1361"/>
      <c r="D33" s="263">
        <f>'Exhibit F'!X33</f>
        <v>0</v>
      </c>
      <c r="E33" s="1950"/>
      <c r="F33" s="263">
        <f>'Exhibit F'!AC33</f>
        <v>1.3</v>
      </c>
      <c r="G33" s="263"/>
      <c r="H33" s="263">
        <f>'Exhibit G'!X25</f>
        <v>0</v>
      </c>
      <c r="I33" s="1950"/>
      <c r="J33" s="263">
        <f>'Exhibit G'!AE25</f>
        <v>0.2</v>
      </c>
      <c r="K33" s="263"/>
      <c r="L33" s="265">
        <v>0</v>
      </c>
      <c r="M33" s="1950"/>
      <c r="N33" s="265">
        <v>0</v>
      </c>
      <c r="O33" s="263"/>
      <c r="P33" s="263">
        <v>0</v>
      </c>
      <c r="Q33" s="1950"/>
      <c r="R33" s="263">
        <v>0</v>
      </c>
      <c r="S33" s="263"/>
      <c r="T33" s="1951"/>
      <c r="U33" s="1951"/>
      <c r="V33" s="1950">
        <f t="shared" si="2"/>
        <v>0</v>
      </c>
      <c r="W33" s="263"/>
      <c r="X33" s="1950">
        <f t="shared" si="3"/>
        <v>1.5</v>
      </c>
      <c r="Y33" s="263"/>
      <c r="Z33" s="1953"/>
      <c r="AA33" s="263"/>
      <c r="AB33" s="523">
        <v>0.2</v>
      </c>
      <c r="AC33" s="263"/>
      <c r="AD33" s="1950">
        <f>'Cashflow Governmental'!AE37</f>
        <v>0.30000000000000004</v>
      </c>
      <c r="AE33" s="1950"/>
      <c r="AF33" s="2038"/>
      <c r="AG33" s="263"/>
      <c r="AH33" s="1950">
        <f t="shared" ref="AH33" si="6">ROUND(SUM(X33)-SUM(AD33),1)</f>
        <v>1.2</v>
      </c>
      <c r="AI33" s="1342"/>
      <c r="AJ33" s="1973">
        <f>ROUND(AH33/AD33,3)</f>
        <v>4</v>
      </c>
      <c r="AK33" s="1948"/>
      <c r="AL33" s="1924"/>
      <c r="AM33" s="1949"/>
    </row>
    <row r="34" spans="1:39" ht="18" customHeight="1">
      <c r="A34" s="1361" t="s">
        <v>314</v>
      </c>
      <c r="B34" s="1361"/>
      <c r="C34" s="1361"/>
      <c r="D34" s="263">
        <f>'Exhibit F'!X34</f>
        <v>15.5</v>
      </c>
      <c r="E34" s="263"/>
      <c r="F34" s="263">
        <f>'Exhibit F'!AC34</f>
        <v>251.9</v>
      </c>
      <c r="G34" s="263"/>
      <c r="H34" s="263">
        <f>'Exhibit G'!X26</f>
        <v>0</v>
      </c>
      <c r="I34" s="1950"/>
      <c r="J34" s="263">
        <f>'Exhibit G'!AE26</f>
        <v>0</v>
      </c>
      <c r="K34" s="263"/>
      <c r="L34" s="265">
        <v>0</v>
      </c>
      <c r="M34" s="1950"/>
      <c r="N34" s="265">
        <v>0</v>
      </c>
      <c r="O34" s="263"/>
      <c r="P34" s="265">
        <v>0</v>
      </c>
      <c r="Q34" s="1950"/>
      <c r="R34" s="265">
        <v>0</v>
      </c>
      <c r="S34" s="263"/>
      <c r="T34" s="1951"/>
      <c r="U34" s="1951"/>
      <c r="V34" s="1950">
        <f t="shared" si="2"/>
        <v>15.5</v>
      </c>
      <c r="W34" s="263"/>
      <c r="X34" s="1950">
        <f t="shared" si="3"/>
        <v>251.9</v>
      </c>
      <c r="Y34" s="1952"/>
      <c r="Z34" s="1953"/>
      <c r="AA34" s="263"/>
      <c r="AB34" s="523">
        <v>13.1</v>
      </c>
      <c r="AC34" s="263"/>
      <c r="AD34" s="1950">
        <f>'Cashflow Governmental'!AE38</f>
        <v>254.70000000000002</v>
      </c>
      <c r="AE34" s="1950"/>
      <c r="AF34" s="2038"/>
      <c r="AG34" s="1952"/>
      <c r="AH34" s="1950">
        <f t="shared" si="4"/>
        <v>-2.8</v>
      </c>
      <c r="AI34" s="1347"/>
      <c r="AJ34" s="1948">
        <f t="shared" si="5"/>
        <v>-1.0999999999999999E-2</v>
      </c>
      <c r="AK34" s="1948"/>
      <c r="AL34" s="1924"/>
      <c r="AM34" s="1949"/>
    </row>
    <row r="35" spans="1:39" ht="18" customHeight="1">
      <c r="A35" s="1361" t="s">
        <v>315</v>
      </c>
      <c r="B35" s="1361"/>
      <c r="C35" s="1361"/>
      <c r="D35" s="263">
        <f>'Exhibit F'!X35</f>
        <v>0</v>
      </c>
      <c r="E35" s="1950"/>
      <c r="F35" s="263">
        <f>'Exhibit F'!AC35</f>
        <v>0</v>
      </c>
      <c r="G35" s="263"/>
      <c r="H35" s="263">
        <f>'Exhibit G'!X27</f>
        <v>9.9999999999999867E-2</v>
      </c>
      <c r="I35" s="1950"/>
      <c r="J35" s="263">
        <f>'Exhibit G'!AE27</f>
        <v>1.9</v>
      </c>
      <c r="K35" s="263"/>
      <c r="L35" s="265">
        <v>0</v>
      </c>
      <c r="M35" s="1950"/>
      <c r="N35" s="265">
        <v>0</v>
      </c>
      <c r="O35" s="263"/>
      <c r="P35" s="263">
        <f>'Exhibit I'!Y20</f>
        <v>12.499999999999986</v>
      </c>
      <c r="Q35" s="1950"/>
      <c r="R35" s="263">
        <f>'Exhibit I'!AF20</f>
        <v>128.69999999999999</v>
      </c>
      <c r="S35" s="263"/>
      <c r="T35" s="1951"/>
      <c r="U35" s="1951"/>
      <c r="V35" s="1950">
        <f>SUM(D35)+SUM(H35)+SUM(L35)+SUM(P35)</f>
        <v>12.599999999999985</v>
      </c>
      <c r="W35" s="263"/>
      <c r="X35" s="1950">
        <f t="shared" si="3"/>
        <v>130.6</v>
      </c>
      <c r="Y35" s="1952"/>
      <c r="Z35" s="1953"/>
      <c r="AA35" s="263"/>
      <c r="AB35" s="523">
        <v>12.5</v>
      </c>
      <c r="AC35" s="263"/>
      <c r="AD35" s="1950">
        <f>'Cashflow Governmental'!AE39</f>
        <v>131.69999999999999</v>
      </c>
      <c r="AE35" s="523"/>
      <c r="AF35" s="2038"/>
      <c r="AG35" s="1952"/>
      <c r="AH35" s="265">
        <f t="shared" si="4"/>
        <v>-1.1000000000000001</v>
      </c>
      <c r="AI35" s="1348"/>
      <c r="AJ35" s="1948">
        <f>ROUND(AH35/AD35,3)</f>
        <v>-8.0000000000000002E-3</v>
      </c>
      <c r="AK35" s="1948"/>
      <c r="AL35" s="1924"/>
      <c r="AM35" s="1949"/>
    </row>
    <row r="36" spans="1:39" ht="18" customHeight="1">
      <c r="A36" s="1361" t="s">
        <v>316</v>
      </c>
      <c r="B36" s="1361"/>
      <c r="C36" s="1361"/>
      <c r="D36" s="263">
        <f>'Exhibit F'!X36</f>
        <v>0</v>
      </c>
      <c r="E36" s="1950"/>
      <c r="F36" s="263">
        <f>'Exhibit F'!AC36</f>
        <v>0</v>
      </c>
      <c r="G36" s="263"/>
      <c r="H36" s="263">
        <f>'Exhibit G'!X28</f>
        <v>0.70000000000000107</v>
      </c>
      <c r="I36" s="1950"/>
      <c r="J36" s="263">
        <f>'Exhibit G'!AE28</f>
        <v>16.600000000000001</v>
      </c>
      <c r="K36" s="263"/>
      <c r="L36" s="265">
        <v>0</v>
      </c>
      <c r="M36" s="1950"/>
      <c r="N36" s="265">
        <v>0</v>
      </c>
      <c r="O36" s="263"/>
      <c r="P36" s="263">
        <v>0</v>
      </c>
      <c r="Q36" s="1950"/>
      <c r="R36" s="263">
        <v>0</v>
      </c>
      <c r="S36" s="263"/>
      <c r="T36" s="1951"/>
      <c r="U36" s="1951"/>
      <c r="V36" s="1950">
        <f>SUM(D36)+SUM(H36)+SUM(L36)+SUM(P36)</f>
        <v>0.70000000000000107</v>
      </c>
      <c r="W36" s="263"/>
      <c r="X36" s="1950">
        <f>SUM(F36)+SUM(J36)+SUM(N36)+SUM(R36)</f>
        <v>16.600000000000001</v>
      </c>
      <c r="Y36" s="1952"/>
      <c r="Z36" s="1953"/>
      <c r="AA36" s="263"/>
      <c r="AB36" s="523">
        <v>0</v>
      </c>
      <c r="AC36" s="263"/>
      <c r="AD36" s="1950">
        <f>'Cashflow Governmental'!AE40</f>
        <v>19</v>
      </c>
      <c r="AE36" s="523"/>
      <c r="AF36" s="2038"/>
      <c r="AG36" s="1952"/>
      <c r="AH36" s="265">
        <f>ROUND(SUM(X36)-SUM(AD36),1)</f>
        <v>-2.4</v>
      </c>
      <c r="AI36" s="1348"/>
      <c r="AJ36" s="276">
        <f>ROUND(IF(AD36=0,1,AH36/(AD36)),3)</f>
        <v>-0.126</v>
      </c>
      <c r="AK36" s="1948"/>
      <c r="AL36" s="1924"/>
      <c r="AM36" s="1949"/>
    </row>
    <row r="37" spans="1:39" ht="18" customHeight="1">
      <c r="A37" s="1361" t="s">
        <v>317</v>
      </c>
      <c r="B37" s="1361"/>
      <c r="C37" s="1361"/>
      <c r="D37" s="263">
        <f>'Exhibit F'!X37</f>
        <v>0.19999999999999929</v>
      </c>
      <c r="E37" s="1950"/>
      <c r="F37" s="263">
        <f>'Exhibit F'!AC37</f>
        <v>20.5</v>
      </c>
      <c r="G37" s="263"/>
      <c r="H37" s="263">
        <v>0</v>
      </c>
      <c r="I37" s="1950"/>
      <c r="J37" s="263">
        <v>0</v>
      </c>
      <c r="K37" s="263"/>
      <c r="L37" s="265">
        <v>0</v>
      </c>
      <c r="M37" s="1950"/>
      <c r="N37" s="265">
        <v>0</v>
      </c>
      <c r="O37" s="263"/>
      <c r="P37" s="263">
        <v>0</v>
      </c>
      <c r="Q37" s="1950"/>
      <c r="R37" s="263">
        <v>0</v>
      </c>
      <c r="S37" s="263"/>
      <c r="T37" s="1951"/>
      <c r="U37" s="1951"/>
      <c r="V37" s="1950">
        <f>SUM(D37)+SUM(H37)+SUM(L37)+SUM(P37)</f>
        <v>0.19999999999999929</v>
      </c>
      <c r="W37" s="263"/>
      <c r="X37" s="1950">
        <f t="shared" ref="X37" si="7">SUM(F37)+SUM(J37)+SUM(N37)+SUM(R37)</f>
        <v>20.5</v>
      </c>
      <c r="Y37" s="1952"/>
      <c r="Z37" s="1953"/>
      <c r="AA37" s="263"/>
      <c r="AB37" s="523">
        <v>0.1</v>
      </c>
      <c r="AC37" s="263"/>
      <c r="AD37" s="1950">
        <f>'Cashflow Governmental'!AE41</f>
        <v>22</v>
      </c>
      <c r="AE37" s="523"/>
      <c r="AF37" s="2038"/>
      <c r="AG37" s="1952"/>
      <c r="AH37" s="265">
        <f t="shared" ref="AH37" si="8">ROUND(SUM(X37)-SUM(AD37),1)</f>
        <v>-1.5</v>
      </c>
      <c r="AI37" s="1348"/>
      <c r="AJ37" s="276">
        <f>ROUND(IF(AD37=0,1,AH37/(AD37)),3)</f>
        <v>-6.8000000000000005E-2</v>
      </c>
      <c r="AK37" s="1948"/>
      <c r="AL37" s="1924"/>
      <c r="AM37" s="1949"/>
    </row>
    <row r="38" spans="1:39" ht="18" customHeight="1">
      <c r="A38" s="1360" t="s">
        <v>318</v>
      </c>
      <c r="B38" s="1361"/>
      <c r="C38" s="1361"/>
      <c r="D38" s="1037">
        <f>ROUND(SUM(D28:D37),1)</f>
        <v>717.4</v>
      </c>
      <c r="E38" s="1"/>
      <c r="F38" s="1037">
        <f>ROUND(SUM(F28:F37),1)</f>
        <v>9201.7999999999993</v>
      </c>
      <c r="G38" s="1"/>
      <c r="H38" s="1037">
        <f>ROUND(SUM(H28:H37),1)</f>
        <v>138.1</v>
      </c>
      <c r="I38" s="1"/>
      <c r="J38" s="1037">
        <f>ROUND(SUM(J28:J37),1)</f>
        <v>2012.6</v>
      </c>
      <c r="K38" s="1"/>
      <c r="L38" s="1037">
        <f>ROUND(SUM(L28:L37),1)</f>
        <v>686.8</v>
      </c>
      <c r="M38" s="1"/>
      <c r="N38" s="1037">
        <f>ROUND(SUM(N28:N37),1)</f>
        <v>8688.6</v>
      </c>
      <c r="O38" s="1"/>
      <c r="P38" s="1037">
        <f>ROUND(SUM(P28:P37),1)</f>
        <v>43.8</v>
      </c>
      <c r="Q38" s="1"/>
      <c r="R38" s="1037">
        <f>ROUND(SUM(R28:R37),1)</f>
        <v>569.4</v>
      </c>
      <c r="S38" s="1"/>
      <c r="T38" s="1956"/>
      <c r="U38" s="1956"/>
      <c r="V38" s="1037">
        <f>ROUND(SUM(V28:V37),1)</f>
        <v>1586.1</v>
      </c>
      <c r="W38" s="1"/>
      <c r="X38" s="1037">
        <f>ROUND(SUM(X28:X37),1)</f>
        <v>20472.400000000001</v>
      </c>
      <c r="Y38" s="1972"/>
      <c r="Z38" s="1959"/>
      <c r="AA38" s="1"/>
      <c r="AB38" s="1037">
        <f>ROUND(SUM(AB28:AB37),1)</f>
        <v>1528.2</v>
      </c>
      <c r="AC38" s="1"/>
      <c r="AD38" s="1037">
        <f>ROUND(SUM(AD28:AD37),1)</f>
        <v>19979.599999999999</v>
      </c>
      <c r="AE38" s="1"/>
      <c r="AF38" s="2039"/>
      <c r="AG38" s="1"/>
      <c r="AH38" s="1969">
        <f t="shared" si="4"/>
        <v>492.8</v>
      </c>
      <c r="AI38" s="1343"/>
      <c r="AJ38" s="1970">
        <f t="shared" si="5"/>
        <v>2.5000000000000001E-2</v>
      </c>
      <c r="AK38" s="1962"/>
      <c r="AL38" s="1963"/>
      <c r="AM38" s="1949"/>
    </row>
    <row r="39" spans="1:39" ht="18" customHeight="1">
      <c r="A39" s="1361"/>
      <c r="B39" s="1361"/>
      <c r="C39" s="1361"/>
      <c r="D39" s="1384"/>
      <c r="E39" s="263"/>
      <c r="F39" s="1384"/>
      <c r="G39" s="263"/>
      <c r="H39" s="1384"/>
      <c r="I39" s="263"/>
      <c r="J39" s="1384"/>
      <c r="K39" s="263"/>
      <c r="L39" s="1384"/>
      <c r="M39" s="263"/>
      <c r="N39" s="1384"/>
      <c r="O39" s="263"/>
      <c r="P39" s="1384"/>
      <c r="Q39" s="263"/>
      <c r="R39" s="1384"/>
      <c r="S39" s="263"/>
      <c r="T39" s="1951"/>
      <c r="U39" s="1951"/>
      <c r="V39" s="1384"/>
      <c r="W39" s="263"/>
      <c r="X39" s="1384"/>
      <c r="Y39" s="263"/>
      <c r="Z39" s="1953"/>
      <c r="AA39" s="263"/>
      <c r="AB39" s="1384"/>
      <c r="AC39" s="263"/>
      <c r="AD39" s="1384"/>
      <c r="AE39" s="263"/>
      <c r="AF39" s="2038"/>
      <c r="AG39" s="263"/>
      <c r="AH39" s="263"/>
      <c r="AI39" s="1342"/>
      <c r="AJ39" s="1971"/>
      <c r="AK39" s="1966"/>
      <c r="AL39" s="1924"/>
      <c r="AM39" s="1949"/>
    </row>
    <row r="40" spans="1:39" ht="18" customHeight="1">
      <c r="A40" s="1360" t="s">
        <v>319</v>
      </c>
      <c r="B40" s="1361"/>
      <c r="C40" s="1361"/>
      <c r="D40" s="263"/>
      <c r="E40" s="263"/>
      <c r="F40" s="263"/>
      <c r="G40" s="263"/>
      <c r="H40" s="263"/>
      <c r="I40" s="263"/>
      <c r="J40" s="263"/>
      <c r="K40" s="263"/>
      <c r="L40" s="263"/>
      <c r="M40" s="263"/>
      <c r="N40" s="263"/>
      <c r="O40" s="263"/>
      <c r="P40" s="263"/>
      <c r="Q40" s="263"/>
      <c r="R40" s="263"/>
      <c r="S40" s="263"/>
      <c r="T40" s="1951"/>
      <c r="U40" s="1951"/>
      <c r="V40" s="263"/>
      <c r="W40" s="263"/>
      <c r="X40" s="263"/>
      <c r="Y40" s="263"/>
      <c r="Z40" s="1953"/>
      <c r="AA40" s="263"/>
      <c r="AB40" s="542"/>
      <c r="AC40" s="263"/>
      <c r="AD40" s="542"/>
      <c r="AE40" s="263"/>
      <c r="AF40" s="2038"/>
      <c r="AG40" s="263"/>
      <c r="AH40" s="263"/>
      <c r="AI40" s="1342"/>
      <c r="AJ40" s="1948"/>
      <c r="AK40" s="1966"/>
      <c r="AL40" s="1924"/>
      <c r="AM40" s="1949"/>
    </row>
    <row r="41" spans="1:39" ht="18" customHeight="1">
      <c r="A41" s="1361" t="s">
        <v>320</v>
      </c>
      <c r="B41" s="1361"/>
      <c r="C41" s="1361"/>
      <c r="D41" s="263">
        <f>'Exhibit F'!X40</f>
        <v>-13.5</v>
      </c>
      <c r="E41" s="263"/>
      <c r="F41" s="263">
        <f>'Exhibit F'!AC40</f>
        <v>4937.7</v>
      </c>
      <c r="G41" s="263"/>
      <c r="H41" s="263">
        <f>'Exhibit G'!X31</f>
        <v>-16.600000000000136</v>
      </c>
      <c r="I41" s="263"/>
      <c r="J41" s="263">
        <f>'Exhibit G'!AE31</f>
        <v>1463.6</v>
      </c>
      <c r="K41" s="263"/>
      <c r="L41" s="265">
        <v>0</v>
      </c>
      <c r="M41" s="1950"/>
      <c r="N41" s="265">
        <v>0</v>
      </c>
      <c r="O41" s="263"/>
      <c r="P41" s="265">
        <f>'Exhibit I'!Y23</f>
        <v>0</v>
      </c>
      <c r="Q41" s="1950"/>
      <c r="R41" s="265">
        <f>'Exhibit I'!AF23</f>
        <v>0</v>
      </c>
      <c r="S41" s="263"/>
      <c r="T41" s="1951"/>
      <c r="U41" s="1951"/>
      <c r="V41" s="1950">
        <f t="shared" ref="V41:V46" si="9">SUM(D41)+SUM(H41)+SUM(L41)+SUM(P41)</f>
        <v>-30.100000000000136</v>
      </c>
      <c r="W41" s="263"/>
      <c r="X41" s="1950">
        <f t="shared" ref="X41:X46" si="10">SUM(F41)+SUM(J41)+SUM(N41)+SUM(R41)</f>
        <v>6401.2999999999993</v>
      </c>
      <c r="Y41" s="263"/>
      <c r="Z41" s="1953"/>
      <c r="AA41" s="263"/>
      <c r="AB41" s="523">
        <v>2.7</v>
      </c>
      <c r="AC41" s="263"/>
      <c r="AD41" s="523">
        <f>'Cashflow Governmental'!AE44</f>
        <v>7057</v>
      </c>
      <c r="AE41" s="1950"/>
      <c r="AF41" s="2038"/>
      <c r="AG41" s="263"/>
      <c r="AH41" s="1950">
        <f t="shared" ref="AH41:AH47" si="11">ROUND(SUM(X41)-SUM(AD41),1)</f>
        <v>-655.7</v>
      </c>
      <c r="AI41" s="1347"/>
      <c r="AJ41" s="1948">
        <f t="shared" ref="AJ41:AJ47" si="12">ROUND(AH41/AD41,3)</f>
        <v>-9.2999999999999999E-2</v>
      </c>
      <c r="AK41" s="1948"/>
      <c r="AL41" s="1924"/>
      <c r="AM41" s="1949"/>
    </row>
    <row r="42" spans="1:39" ht="18" customHeight="1">
      <c r="A42" s="1361" t="s">
        <v>321</v>
      </c>
      <c r="B42" s="1361"/>
      <c r="C42" s="1361"/>
      <c r="D42" s="263">
        <f>'Exhibit F'!X41</f>
        <v>3.4000000000000057</v>
      </c>
      <c r="E42" s="263"/>
      <c r="F42" s="263">
        <f>'Exhibit F'!AC41</f>
        <v>252.1</v>
      </c>
      <c r="G42" s="263"/>
      <c r="H42" s="263">
        <f>'Exhibit G'!X32</f>
        <v>1</v>
      </c>
      <c r="I42" s="263"/>
      <c r="J42" s="1950">
        <f>'Exhibit G'!AE32</f>
        <v>70</v>
      </c>
      <c r="K42" s="263"/>
      <c r="L42" s="265">
        <v>0</v>
      </c>
      <c r="M42" s="1950"/>
      <c r="N42" s="265">
        <v>0</v>
      </c>
      <c r="O42" s="263"/>
      <c r="P42" s="263">
        <f>'Exhibit I'!Y24</f>
        <v>0.10000000000000053</v>
      </c>
      <c r="Q42" s="1950"/>
      <c r="R42" s="263">
        <f>'Exhibit I'!AF24</f>
        <v>6.9</v>
      </c>
      <c r="S42" s="263"/>
      <c r="T42" s="1951"/>
      <c r="U42" s="1951"/>
      <c r="V42" s="1950">
        <f t="shared" si="9"/>
        <v>4.5000000000000062</v>
      </c>
      <c r="W42" s="263"/>
      <c r="X42" s="1950">
        <f t="shared" si="10"/>
        <v>329</v>
      </c>
      <c r="Y42" s="263"/>
      <c r="Z42" s="1953"/>
      <c r="AA42" s="263"/>
      <c r="AB42" s="523">
        <v>-5.5</v>
      </c>
      <c r="AC42" s="263"/>
      <c r="AD42" s="523">
        <f>'Cashflow Governmental'!AE45</f>
        <v>369.6</v>
      </c>
      <c r="AE42" s="1950"/>
      <c r="AF42" s="2038"/>
      <c r="AG42" s="263"/>
      <c r="AH42" s="1950">
        <f t="shared" si="11"/>
        <v>-40.6</v>
      </c>
      <c r="AI42" s="1347"/>
      <c r="AJ42" s="1973">
        <f t="shared" si="12"/>
        <v>-0.11</v>
      </c>
      <c r="AK42" s="1948"/>
      <c r="AL42" s="1924"/>
      <c r="AM42" s="1949"/>
    </row>
    <row r="43" spans="1:39" ht="18" customHeight="1">
      <c r="A43" s="1361" t="s">
        <v>322</v>
      </c>
      <c r="B43" s="1361"/>
      <c r="C43" s="1361"/>
      <c r="D43" s="263">
        <f>'Exhibit F'!X42</f>
        <v>11.200000000000045</v>
      </c>
      <c r="E43" s="263"/>
      <c r="F43" s="263">
        <f>'Exhibit F'!AC42</f>
        <v>1602.7</v>
      </c>
      <c r="G43" s="263"/>
      <c r="H43" s="263">
        <f>'Exhibit G'!X33</f>
        <v>1.1999999999999886</v>
      </c>
      <c r="I43" s="263"/>
      <c r="J43" s="263">
        <f>'Exhibit G'!AE33</f>
        <v>201.6</v>
      </c>
      <c r="K43" s="263"/>
      <c r="L43" s="265">
        <v>0</v>
      </c>
      <c r="M43" s="1950"/>
      <c r="N43" s="265">
        <v>0</v>
      </c>
      <c r="O43" s="263"/>
      <c r="P43" s="265">
        <v>0</v>
      </c>
      <c r="Q43" s="1950"/>
      <c r="R43" s="265">
        <v>0</v>
      </c>
      <c r="S43" s="263"/>
      <c r="T43" s="1951"/>
      <c r="U43" s="1951"/>
      <c r="V43" s="1950">
        <f t="shared" si="9"/>
        <v>12.400000000000034</v>
      </c>
      <c r="W43" s="263"/>
      <c r="X43" s="1950">
        <f t="shared" si="10"/>
        <v>1804.3</v>
      </c>
      <c r="Y43" s="263"/>
      <c r="Z43" s="1953"/>
      <c r="AA43" s="263"/>
      <c r="AB43" s="523">
        <v>9.6999999999999993</v>
      </c>
      <c r="AC43" s="263"/>
      <c r="AD43" s="523">
        <f>'Cashflow Governmental'!AE46</f>
        <v>1779.1000000000001</v>
      </c>
      <c r="AE43" s="1950"/>
      <c r="AF43" s="2038"/>
      <c r="AG43" s="263"/>
      <c r="AH43" s="1950">
        <f t="shared" si="11"/>
        <v>25.2</v>
      </c>
      <c r="AI43" s="1347"/>
      <c r="AJ43" s="1948">
        <f>ROUND(AH43/AD43,3)</f>
        <v>1.4E-2</v>
      </c>
      <c r="AK43" s="1948"/>
      <c r="AL43" s="1924"/>
      <c r="AM43" s="1949"/>
    </row>
    <row r="44" spans="1:39" ht="18" customHeight="1">
      <c r="A44" s="1361" t="s">
        <v>323</v>
      </c>
      <c r="B44" s="1361"/>
      <c r="C44" s="1361"/>
      <c r="D44" s="263">
        <f>'Exhibit F'!X43</f>
        <v>0</v>
      </c>
      <c r="E44" s="263"/>
      <c r="F44" s="263">
        <f>'Exhibit F'!AC43</f>
        <v>277.39999999999998</v>
      </c>
      <c r="G44" s="263"/>
      <c r="H44" s="263">
        <f>'Exhibit G'!X34</f>
        <v>0</v>
      </c>
      <c r="I44" s="263"/>
      <c r="J44" s="263">
        <f>'Exhibit G'!AE34</f>
        <v>55.4</v>
      </c>
      <c r="K44" s="263"/>
      <c r="L44" s="265">
        <v>0</v>
      </c>
      <c r="M44" s="1950"/>
      <c r="N44" s="265">
        <v>0</v>
      </c>
      <c r="O44" s="263"/>
      <c r="P44" s="265">
        <v>0</v>
      </c>
      <c r="Q44" s="1950"/>
      <c r="R44" s="265">
        <v>0</v>
      </c>
      <c r="S44" s="263"/>
      <c r="T44" s="1951"/>
      <c r="U44" s="1951"/>
      <c r="V44" s="1950">
        <f>ROUND(SUM(D44)+SUM(H44)+SUM(L44)+SUM(P44),1)</f>
        <v>0</v>
      </c>
      <c r="W44" s="263"/>
      <c r="X44" s="1950">
        <f t="shared" si="10"/>
        <v>332.79999999999995</v>
      </c>
      <c r="Y44" s="263"/>
      <c r="Z44" s="1953"/>
      <c r="AA44" s="263"/>
      <c r="AB44" s="523">
        <v>0</v>
      </c>
      <c r="AC44" s="263"/>
      <c r="AD44" s="523">
        <f>'Cashflow Governmental'!AE47</f>
        <v>1</v>
      </c>
      <c r="AE44" s="1950"/>
      <c r="AF44" s="2038"/>
      <c r="AG44" s="263"/>
      <c r="AH44" s="1950">
        <f>ROUND(SUM(X44)-SUM(AD44),1)</f>
        <v>331.8</v>
      </c>
      <c r="AI44" s="1347"/>
      <c r="AJ44" s="553">
        <f>-ROUND(IF(AD44=0,1,-AH44/(AD44)),3)</f>
        <v>331.8</v>
      </c>
      <c r="AK44" s="1948"/>
      <c r="AL44" s="1924"/>
      <c r="AM44" s="1949"/>
    </row>
    <row r="45" spans="1:39" ht="18" customHeight="1">
      <c r="A45" s="1361" t="s">
        <v>324</v>
      </c>
      <c r="B45" s="1361"/>
      <c r="C45" s="1361"/>
      <c r="D45" s="263">
        <f>'Exhibit F'!X44</f>
        <v>86.300000000000182</v>
      </c>
      <c r="E45" s="263"/>
      <c r="F45" s="263">
        <f>'Exhibit F'!AC44</f>
        <v>5760.2</v>
      </c>
      <c r="G45" s="263"/>
      <c r="H45" s="263">
        <v>0</v>
      </c>
      <c r="I45" s="263"/>
      <c r="J45" s="263">
        <v>0</v>
      </c>
      <c r="K45" s="263"/>
      <c r="L45" s="265">
        <f>'Exhibit H'!V23</f>
        <v>86.199999999999818</v>
      </c>
      <c r="M45" s="1950"/>
      <c r="N45" s="265">
        <f>'Exhibit H'!AA23</f>
        <v>5760.0999999999995</v>
      </c>
      <c r="O45" s="263"/>
      <c r="P45" s="265">
        <v>0</v>
      </c>
      <c r="Q45" s="1950"/>
      <c r="R45" s="265">
        <v>0</v>
      </c>
      <c r="S45" s="263"/>
      <c r="T45" s="1951"/>
      <c r="U45" s="1951"/>
      <c r="V45" s="1950">
        <f t="shared" si="9"/>
        <v>172.5</v>
      </c>
      <c r="W45" s="263"/>
      <c r="X45" s="1950">
        <f t="shared" si="10"/>
        <v>11520.3</v>
      </c>
      <c r="Y45" s="263"/>
      <c r="Z45" s="1953"/>
      <c r="AA45" s="263"/>
      <c r="AB45" s="523">
        <v>98.4</v>
      </c>
      <c r="AC45" s="263"/>
      <c r="AD45" s="523">
        <f>'Cashflow Governmental'!AE48</f>
        <v>9610.2000000000007</v>
      </c>
      <c r="AE45" s="1950"/>
      <c r="AF45" s="2038"/>
      <c r="AG45" s="263"/>
      <c r="AH45" s="1950">
        <f>ROUND(SUM(X45)-SUM(AD45),1)</f>
        <v>1910.1</v>
      </c>
      <c r="AI45" s="1347"/>
      <c r="AJ45" s="276">
        <f>ROUND(IF(AD45=0,1,AH45/(AD45)),3)</f>
        <v>0.19900000000000001</v>
      </c>
      <c r="AK45" s="1948"/>
      <c r="AL45" s="1924"/>
      <c r="AM45" s="1949"/>
    </row>
    <row r="46" spans="1:39" ht="18" customHeight="1">
      <c r="A46" s="1361" t="s">
        <v>325</v>
      </c>
      <c r="B46" s="1361"/>
      <c r="C46" s="1361"/>
      <c r="D46" s="263">
        <f>'Exhibit F'!X45</f>
        <v>0</v>
      </c>
      <c r="E46" s="1950"/>
      <c r="F46" s="263">
        <f>'Exhibit F'!AC45</f>
        <v>0</v>
      </c>
      <c r="G46" s="263"/>
      <c r="H46" s="263">
        <f>'Exhibit G'!X35</f>
        <v>36.5</v>
      </c>
      <c r="I46" s="1950"/>
      <c r="J46" s="263">
        <f>'Exhibit G'!AE35</f>
        <v>431.4</v>
      </c>
      <c r="K46" s="263"/>
      <c r="L46" s="265">
        <v>0</v>
      </c>
      <c r="M46" s="1950"/>
      <c r="N46" s="265">
        <v>0</v>
      </c>
      <c r="O46" s="263"/>
      <c r="P46" s="263">
        <f>'Exhibit I'!Y25</f>
        <v>46.5</v>
      </c>
      <c r="Q46" s="1950"/>
      <c r="R46" s="263">
        <f>'Exhibit I'!AF25</f>
        <v>552.5</v>
      </c>
      <c r="S46" s="263"/>
      <c r="T46" s="1951"/>
      <c r="U46" s="1951"/>
      <c r="V46" s="1950">
        <f t="shared" si="9"/>
        <v>83</v>
      </c>
      <c r="W46" s="263"/>
      <c r="X46" s="1950">
        <f t="shared" si="10"/>
        <v>983.9</v>
      </c>
      <c r="Y46" s="263"/>
      <c r="Z46" s="1953"/>
      <c r="AA46" s="263"/>
      <c r="AB46" s="523">
        <v>79.900000000000006</v>
      </c>
      <c r="AC46" s="263"/>
      <c r="AD46" s="523">
        <f>'Cashflow Governmental'!AE49</f>
        <v>1029.3</v>
      </c>
      <c r="AE46" s="1950"/>
      <c r="AF46" s="2038"/>
      <c r="AG46" s="263"/>
      <c r="AH46" s="1950">
        <f t="shared" si="11"/>
        <v>-45.4</v>
      </c>
      <c r="AI46" s="1348"/>
      <c r="AJ46" s="1948">
        <f t="shared" si="12"/>
        <v>-4.3999999999999997E-2</v>
      </c>
      <c r="AK46" s="1948"/>
      <c r="AL46" s="1924"/>
      <c r="AM46" s="1949"/>
    </row>
    <row r="47" spans="1:39" ht="18" customHeight="1">
      <c r="A47" s="1360" t="s">
        <v>318</v>
      </c>
      <c r="B47" s="1361"/>
      <c r="C47" s="1361"/>
      <c r="D47" s="1037">
        <f>ROUND(SUM(D41:D46),1)</f>
        <v>87.4</v>
      </c>
      <c r="E47" s="1"/>
      <c r="F47" s="1037">
        <f>ROUND(SUM(F41:F46),1)</f>
        <v>12830.1</v>
      </c>
      <c r="G47" s="1"/>
      <c r="H47" s="1037">
        <f>ROUND(SUM(H41:H46),1)</f>
        <v>22.1</v>
      </c>
      <c r="I47" s="1"/>
      <c r="J47" s="1037">
        <f>ROUND(SUM(J41:J46),1)</f>
        <v>2222</v>
      </c>
      <c r="K47" s="1"/>
      <c r="L47" s="1974">
        <f>ROUND(SUM(L41:L46),1)</f>
        <v>86.2</v>
      </c>
      <c r="M47" s="1955"/>
      <c r="N47" s="1974">
        <f>ROUND(SUM(N41:N46),1)</f>
        <v>5760.1</v>
      </c>
      <c r="O47" s="1"/>
      <c r="P47" s="1037">
        <f>ROUND(SUM(P41:P46),1)</f>
        <v>46.6</v>
      </c>
      <c r="Q47" s="1"/>
      <c r="R47" s="1037">
        <f>ROUND(SUM(R41:R46),1)</f>
        <v>559.4</v>
      </c>
      <c r="S47" s="1"/>
      <c r="T47" s="1956"/>
      <c r="U47" s="1956"/>
      <c r="V47" s="1037">
        <f>ROUND(SUM(V41:V46),1)</f>
        <v>242.3</v>
      </c>
      <c r="W47" s="1"/>
      <c r="X47" s="1037">
        <f>ROUND(SUM(X41:X46),1)</f>
        <v>21371.599999999999</v>
      </c>
      <c r="Y47" s="1972"/>
      <c r="Z47" s="1959"/>
      <c r="AA47" s="1"/>
      <c r="AB47" s="1037">
        <f>ROUND(SUM(AB41:AB46),1)</f>
        <v>185.2</v>
      </c>
      <c r="AC47" s="1"/>
      <c r="AD47" s="1037">
        <f>ROUND(SUM(AD41:AD46),1)</f>
        <v>19846.2</v>
      </c>
      <c r="AE47" s="1"/>
      <c r="AF47" s="2039"/>
      <c r="AG47" s="1"/>
      <c r="AH47" s="1975">
        <f t="shared" si="11"/>
        <v>1525.4</v>
      </c>
      <c r="AI47" s="1343"/>
      <c r="AJ47" s="1970">
        <f t="shared" si="12"/>
        <v>7.6999999999999999E-2</v>
      </c>
      <c r="AK47" s="1962"/>
      <c r="AL47" s="1963"/>
      <c r="AM47" s="1949"/>
    </row>
    <row r="48" spans="1:39" ht="18" customHeight="1">
      <c r="A48" s="1361"/>
      <c r="B48" s="1361"/>
      <c r="C48" s="1361"/>
      <c r="D48" s="1384"/>
      <c r="E48" s="263"/>
      <c r="F48" s="1384"/>
      <c r="G48" s="263"/>
      <c r="H48" s="1384"/>
      <c r="I48" s="263"/>
      <c r="J48" s="1384" t="s">
        <v>103</v>
      </c>
      <c r="K48" s="263"/>
      <c r="L48" s="1384"/>
      <c r="M48" s="263"/>
      <c r="N48" s="1384"/>
      <c r="O48" s="263"/>
      <c r="P48" s="1384"/>
      <c r="Q48" s="263"/>
      <c r="R48" s="1384"/>
      <c r="S48" s="263"/>
      <c r="T48" s="1951"/>
      <c r="U48" s="1951"/>
      <c r="V48" s="1384"/>
      <c r="W48" s="263"/>
      <c r="X48" s="1384" t="s">
        <v>103</v>
      </c>
      <c r="Y48" s="263"/>
      <c r="Z48" s="1953"/>
      <c r="AA48" s="263"/>
      <c r="AB48" s="1384"/>
      <c r="AC48" s="263"/>
      <c r="AD48" s="1384"/>
      <c r="AE48" s="263"/>
      <c r="AF48" s="2038"/>
      <c r="AG48" s="263"/>
      <c r="AH48" s="263"/>
      <c r="AI48" s="1342"/>
      <c r="AJ48" s="1971"/>
      <c r="AK48" s="1966"/>
      <c r="AL48" s="1924"/>
      <c r="AM48" s="1949"/>
    </row>
    <row r="49" spans="1:39" ht="18" customHeight="1">
      <c r="A49" s="1364" t="s">
        <v>326</v>
      </c>
      <c r="B49" s="1361"/>
      <c r="C49" s="1361"/>
      <c r="D49" s="263"/>
      <c r="E49" s="263"/>
      <c r="F49" s="263"/>
      <c r="G49" s="263"/>
      <c r="H49" s="263" t="s">
        <v>103</v>
      </c>
      <c r="I49" s="263"/>
      <c r="J49" s="263"/>
      <c r="K49" s="263"/>
      <c r="L49" s="263"/>
      <c r="M49" s="263"/>
      <c r="N49" s="263"/>
      <c r="O49" s="263"/>
      <c r="P49" s="263"/>
      <c r="Q49" s="263"/>
      <c r="R49" s="263"/>
      <c r="S49" s="263"/>
      <c r="T49" s="1951"/>
      <c r="U49" s="1951"/>
      <c r="V49" s="263"/>
      <c r="W49" s="263"/>
      <c r="X49" s="263"/>
      <c r="Y49" s="263"/>
      <c r="Z49" s="1953"/>
      <c r="AA49" s="263"/>
      <c r="AB49" s="263"/>
      <c r="AC49" s="263"/>
      <c r="AD49" s="263"/>
      <c r="AE49" s="263"/>
      <c r="AF49" s="2038"/>
      <c r="AG49" s="263"/>
      <c r="AH49" s="263"/>
      <c r="AI49" s="1342"/>
      <c r="AJ49" s="1948"/>
      <c r="AK49" s="1966"/>
      <c r="AL49" s="1924"/>
      <c r="AM49" s="1949"/>
    </row>
    <row r="50" spans="1:39" ht="18" customHeight="1">
      <c r="A50" s="1361" t="s">
        <v>327</v>
      </c>
      <c r="B50" s="1361"/>
      <c r="C50" s="1361"/>
      <c r="D50" s="265">
        <f>'Exhibit F'!X48</f>
        <v>0</v>
      </c>
      <c r="E50" s="263"/>
      <c r="F50" s="263">
        <f>'Exhibit F'!AC48</f>
        <v>0</v>
      </c>
      <c r="G50" s="263"/>
      <c r="H50" s="265">
        <v>0</v>
      </c>
      <c r="I50" s="1950"/>
      <c r="J50" s="265">
        <v>0</v>
      </c>
      <c r="K50" s="263"/>
      <c r="L50" s="265">
        <v>0</v>
      </c>
      <c r="M50" s="265"/>
      <c r="N50" s="265">
        <v>0</v>
      </c>
      <c r="O50" s="263"/>
      <c r="P50" s="265">
        <v>0</v>
      </c>
      <c r="Q50" s="1950"/>
      <c r="R50" s="265">
        <v>0</v>
      </c>
      <c r="S50" s="263"/>
      <c r="T50" s="1951"/>
      <c r="U50" s="1951"/>
      <c r="V50" s="265">
        <f t="shared" ref="V50:V54" si="13">SUM(D50)+SUM(H50)+SUM(L50)+SUM(P50)</f>
        <v>0</v>
      </c>
      <c r="W50" s="263"/>
      <c r="X50" s="1950">
        <f t="shared" ref="X50:X54" si="14">SUM(F50)+SUM(J50)+SUM(N50)+SUM(R50)</f>
        <v>0</v>
      </c>
      <c r="Y50" s="1952"/>
      <c r="Z50" s="1953"/>
      <c r="AA50" s="263"/>
      <c r="AB50" s="523">
        <v>0</v>
      </c>
      <c r="AC50" s="263"/>
      <c r="AD50" s="523">
        <f>'Cashflow Governmental'!AE52</f>
        <v>0</v>
      </c>
      <c r="AE50" s="1950"/>
      <c r="AF50" s="2038"/>
      <c r="AG50" s="1952"/>
      <c r="AH50" s="1950">
        <f t="shared" ref="AH50:AH56" si="15">ROUND(SUM(X50)-SUM(AD50),1)</f>
        <v>0</v>
      </c>
      <c r="AI50" s="1347"/>
      <c r="AJ50" s="276">
        <f>ROUND(IF(AD50=0,0,-AH50/(AD50)),3)</f>
        <v>0</v>
      </c>
      <c r="AK50" s="1948"/>
      <c r="AL50" s="1924"/>
      <c r="AM50" s="1949"/>
    </row>
    <row r="51" spans="1:39" ht="18" customHeight="1">
      <c r="A51" s="1361" t="s">
        <v>328</v>
      </c>
      <c r="B51" s="1361"/>
      <c r="C51" s="1361"/>
      <c r="D51" s="265">
        <f>'Exhibit F'!X49</f>
        <v>94.799999999999955</v>
      </c>
      <c r="E51" s="263"/>
      <c r="F51" s="263">
        <f>'Exhibit F'!AC49</f>
        <v>1211.0999999999999</v>
      </c>
      <c r="G51" s="263"/>
      <c r="H51" s="265">
        <v>0</v>
      </c>
      <c r="I51" s="1950"/>
      <c r="J51" s="265">
        <v>0</v>
      </c>
      <c r="K51" s="263"/>
      <c r="L51" s="265">
        <v>0</v>
      </c>
      <c r="M51" s="265"/>
      <c r="N51" s="265">
        <v>0</v>
      </c>
      <c r="O51" s="263"/>
      <c r="P51" s="265">
        <v>0</v>
      </c>
      <c r="Q51" s="1950"/>
      <c r="R51" s="265">
        <v>0</v>
      </c>
      <c r="S51" s="263"/>
      <c r="T51" s="1951"/>
      <c r="U51" s="1951"/>
      <c r="V51" s="1950">
        <f t="shared" si="13"/>
        <v>94.799999999999955</v>
      </c>
      <c r="W51" s="263"/>
      <c r="X51" s="1950">
        <f t="shared" si="14"/>
        <v>1211.0999999999999</v>
      </c>
      <c r="Y51" s="1952"/>
      <c r="Z51" s="1953"/>
      <c r="AA51" s="263"/>
      <c r="AB51" s="523">
        <v>80.100000000000009</v>
      </c>
      <c r="AC51" s="263"/>
      <c r="AD51" s="523">
        <f>'Cashflow Governmental'!AE53</f>
        <v>1792.8</v>
      </c>
      <c r="AE51" s="523"/>
      <c r="AF51" s="2038"/>
      <c r="AG51" s="1952"/>
      <c r="AH51" s="1950">
        <f t="shared" si="15"/>
        <v>-581.70000000000005</v>
      </c>
      <c r="AI51" s="1347"/>
      <c r="AJ51" s="1948">
        <f>ROUND(AH51/AD51,3)</f>
        <v>-0.32400000000000001</v>
      </c>
      <c r="AK51" s="1948"/>
      <c r="AL51" s="1924"/>
      <c r="AM51" s="1949"/>
    </row>
    <row r="52" spans="1:39" ht="18" customHeight="1">
      <c r="A52" s="1361" t="s">
        <v>329</v>
      </c>
      <c r="B52" s="1361"/>
      <c r="C52" s="1361"/>
      <c r="D52" s="265">
        <f>'Exhibit F'!X50</f>
        <v>0.59999999999999964</v>
      </c>
      <c r="E52" s="263"/>
      <c r="F52" s="263">
        <f>'Exhibit F'!AC50</f>
        <v>11.5</v>
      </c>
      <c r="G52" s="263"/>
      <c r="H52" s="265">
        <v>0</v>
      </c>
      <c r="I52" s="1950"/>
      <c r="J52" s="265">
        <v>0</v>
      </c>
      <c r="K52" s="263"/>
      <c r="L52" s="265">
        <v>0</v>
      </c>
      <c r="M52" s="265"/>
      <c r="N52" s="265">
        <v>0</v>
      </c>
      <c r="O52" s="263"/>
      <c r="P52" s="265">
        <v>0</v>
      </c>
      <c r="Q52" s="1950"/>
      <c r="R52" s="265">
        <v>0</v>
      </c>
      <c r="S52" s="263"/>
      <c r="T52" s="1951"/>
      <c r="U52" s="1951"/>
      <c r="V52" s="1950">
        <f t="shared" si="13"/>
        <v>0.59999999999999964</v>
      </c>
      <c r="W52" s="263"/>
      <c r="X52" s="1950">
        <f t="shared" si="14"/>
        <v>11.5</v>
      </c>
      <c r="Y52" s="1952"/>
      <c r="Z52" s="1953"/>
      <c r="AA52" s="263"/>
      <c r="AB52" s="523">
        <v>0.6</v>
      </c>
      <c r="AC52" s="263"/>
      <c r="AD52" s="523">
        <f>'Cashflow Governmental'!AE54</f>
        <v>12</v>
      </c>
      <c r="AE52" s="523"/>
      <c r="AF52" s="2038"/>
      <c r="AG52" s="1952"/>
      <c r="AH52" s="1950">
        <f t="shared" si="15"/>
        <v>-0.5</v>
      </c>
      <c r="AI52" s="1347"/>
      <c r="AJ52" s="1948">
        <f>ROUND(AH52/AD52,3)</f>
        <v>-4.2000000000000003E-2</v>
      </c>
      <c r="AK52" s="1948"/>
      <c r="AL52" s="1924"/>
      <c r="AM52" s="1949"/>
    </row>
    <row r="53" spans="1:39" ht="18" customHeight="1">
      <c r="A53" s="1361" t="s">
        <v>330</v>
      </c>
      <c r="B53" s="1361"/>
      <c r="C53" s="1361"/>
      <c r="D53" s="265">
        <f>'Exhibit F'!X51</f>
        <v>0</v>
      </c>
      <c r="E53" s="1950"/>
      <c r="F53" s="263">
        <f>'Exhibit F'!AC51</f>
        <v>0</v>
      </c>
      <c r="G53" s="263"/>
      <c r="H53" s="265">
        <v>0</v>
      </c>
      <c r="I53" s="1950"/>
      <c r="J53" s="265">
        <v>0</v>
      </c>
      <c r="K53" s="263"/>
      <c r="L53" s="1950">
        <f>'Exhibit H'!V26</f>
        <v>80</v>
      </c>
      <c r="M53" s="1950"/>
      <c r="N53" s="1950">
        <f>'Exhibit H'!AA26</f>
        <v>930</v>
      </c>
      <c r="O53" s="263"/>
      <c r="P53" s="523">
        <f>'Exhibit I'!Y28</f>
        <v>25.699999999999989</v>
      </c>
      <c r="Q53" s="1950"/>
      <c r="R53" s="523">
        <f>'Exhibit I'!AF28</f>
        <v>231.6</v>
      </c>
      <c r="S53" s="263"/>
      <c r="T53" s="1951"/>
      <c r="U53" s="1951"/>
      <c r="V53" s="1950">
        <f t="shared" si="13"/>
        <v>105.69999999999999</v>
      </c>
      <c r="W53" s="263"/>
      <c r="X53" s="1950">
        <f t="shared" si="14"/>
        <v>1161.5999999999999</v>
      </c>
      <c r="Y53" s="1952"/>
      <c r="Z53" s="1953"/>
      <c r="AA53" s="263"/>
      <c r="AB53" s="523">
        <v>100.7</v>
      </c>
      <c r="AC53" s="263"/>
      <c r="AD53" s="523">
        <f>'Cashflow Governmental'!AE55</f>
        <v>1090.5</v>
      </c>
      <c r="AE53" s="1950"/>
      <c r="AF53" s="2038"/>
      <c r="AG53" s="1952"/>
      <c r="AH53" s="1950">
        <f t="shared" si="15"/>
        <v>71.099999999999994</v>
      </c>
      <c r="AI53" s="1976"/>
      <c r="AJ53" s="1948">
        <f>ROUND(AH53/AD53,3)</f>
        <v>6.5000000000000002E-2</v>
      </c>
      <c r="AK53" s="1948"/>
      <c r="AL53" s="1924"/>
      <c r="AM53" s="1949"/>
    </row>
    <row r="54" spans="1:39" ht="18" customHeight="1">
      <c r="A54" s="1361" t="s">
        <v>331</v>
      </c>
      <c r="B54" s="1361"/>
      <c r="C54" s="1361"/>
      <c r="D54" s="265">
        <f>'Exhibit F'!X52</f>
        <v>0.10000000000000009</v>
      </c>
      <c r="E54" s="263"/>
      <c r="F54" s="263">
        <f>'Exhibit F'!AC52</f>
        <v>2</v>
      </c>
      <c r="G54" s="263"/>
      <c r="H54" s="265">
        <v>0</v>
      </c>
      <c r="I54" s="1950"/>
      <c r="J54" s="265">
        <v>0</v>
      </c>
      <c r="K54" s="263"/>
      <c r="L54" s="265">
        <v>0</v>
      </c>
      <c r="M54" s="265"/>
      <c r="N54" s="265">
        <v>0</v>
      </c>
      <c r="O54" s="263"/>
      <c r="P54" s="265">
        <v>0</v>
      </c>
      <c r="Q54" s="1950"/>
      <c r="R54" s="265">
        <v>0</v>
      </c>
      <c r="S54" s="263"/>
      <c r="T54" s="1951"/>
      <c r="U54" s="1951"/>
      <c r="V54" s="1950">
        <f t="shared" si="13"/>
        <v>0.10000000000000009</v>
      </c>
      <c r="W54" s="263"/>
      <c r="X54" s="1950">
        <f t="shared" si="14"/>
        <v>2</v>
      </c>
      <c r="Y54" s="1952"/>
      <c r="Z54" s="1953"/>
      <c r="AA54" s="263"/>
      <c r="AB54" s="523">
        <v>0</v>
      </c>
      <c r="AC54" s="263"/>
      <c r="AD54" s="523">
        <f>'Cashflow Governmental'!AE56</f>
        <v>1.4</v>
      </c>
      <c r="AE54" s="1950"/>
      <c r="AF54" s="2038"/>
      <c r="AG54" s="1952"/>
      <c r="AH54" s="1950">
        <f t="shared" si="15"/>
        <v>0.6</v>
      </c>
      <c r="AI54" s="1976"/>
      <c r="AJ54" s="276">
        <f>ROUND(IF(AD54=0,1,AH54/(AD54)),3)</f>
        <v>0.42899999999999999</v>
      </c>
      <c r="AK54" s="1948"/>
      <c r="AL54" s="1924"/>
      <c r="AM54" s="1949"/>
    </row>
    <row r="55" spans="1:39" ht="18" customHeight="1">
      <c r="A55" s="431" t="s">
        <v>332</v>
      </c>
      <c r="B55" s="1361"/>
      <c r="C55" s="1361"/>
      <c r="D55" s="265">
        <f>'Exhibit F'!X53</f>
        <v>9.9999999999999645E-2</v>
      </c>
      <c r="E55" s="263"/>
      <c r="F55" s="263">
        <f>'Exhibit F'!AC53</f>
        <v>7.5</v>
      </c>
      <c r="G55" s="263"/>
      <c r="H55" s="263">
        <v>0</v>
      </c>
      <c r="I55" s="1950"/>
      <c r="J55" s="1950">
        <v>0</v>
      </c>
      <c r="K55" s="263"/>
      <c r="L55" s="265">
        <f>'Exhibit H'!V27</f>
        <v>9.9999999999999645E-2</v>
      </c>
      <c r="M55" s="1950"/>
      <c r="N55" s="265">
        <f>'Exhibit H'!AA27</f>
        <v>7.4</v>
      </c>
      <c r="O55" s="263"/>
      <c r="P55" s="265">
        <v>0</v>
      </c>
      <c r="Q55" s="1950"/>
      <c r="R55" s="265">
        <v>0</v>
      </c>
      <c r="S55" s="263"/>
      <c r="T55" s="1951"/>
      <c r="U55" s="1951"/>
      <c r="V55" s="1950">
        <f t="shared" ref="V55" si="16">SUM(D55)+SUM(H55)+SUM(L55)+SUM(P55)</f>
        <v>0.19999999999999929</v>
      </c>
      <c r="W55" s="263"/>
      <c r="X55" s="1950">
        <f t="shared" ref="X55" si="17">SUM(F55)+SUM(J55)+SUM(N55)+SUM(R55)</f>
        <v>14.9</v>
      </c>
      <c r="Y55" s="1952"/>
      <c r="Z55" s="1953"/>
      <c r="AA55" s="263"/>
      <c r="AB55" s="523">
        <v>0.2</v>
      </c>
      <c r="AC55" s="263"/>
      <c r="AD55" s="523">
        <f>'Cashflow Governmental'!AE57</f>
        <v>13</v>
      </c>
      <c r="AE55" s="1950"/>
      <c r="AF55" s="2038"/>
      <c r="AG55" s="1952"/>
      <c r="AH55" s="265">
        <f t="shared" ref="AH55" si="18">ROUND(SUM(X55)-SUM(AD55),1)</f>
        <v>1.9</v>
      </c>
      <c r="AI55" s="1976"/>
      <c r="AJ55" s="276">
        <f>ROUND(IF(AD55=0,1,AH55/(AD55)),3)</f>
        <v>0.14599999999999999</v>
      </c>
      <c r="AK55" s="1948"/>
      <c r="AL55" s="1924"/>
      <c r="AM55" s="1949"/>
    </row>
    <row r="56" spans="1:39" ht="18" customHeight="1">
      <c r="A56" s="1360" t="s">
        <v>318</v>
      </c>
      <c r="B56" s="1361"/>
      <c r="C56" s="1361"/>
      <c r="D56" s="1037">
        <f>ROUND(SUM(D50:D55),1)</f>
        <v>95.6</v>
      </c>
      <c r="E56" s="1"/>
      <c r="F56" s="1037">
        <f>ROUND(SUM(F50:F55),1)</f>
        <v>1232.0999999999999</v>
      </c>
      <c r="G56" s="1"/>
      <c r="H56" s="1957">
        <f>ROUND(SUM(H50:H55),1)</f>
        <v>0</v>
      </c>
      <c r="I56" s="1955"/>
      <c r="J56" s="1957">
        <f>ROUND(SUM(J50:J55),1)</f>
        <v>0</v>
      </c>
      <c r="K56" s="1"/>
      <c r="L56" s="1037">
        <f>ROUND(SUM(L50:L55),1)</f>
        <v>80.099999999999994</v>
      </c>
      <c r="M56" s="1"/>
      <c r="N56" s="1037">
        <f>ROUND(SUM(N50:N55),1)</f>
        <v>937.4</v>
      </c>
      <c r="O56" s="1" t="s">
        <v>103</v>
      </c>
      <c r="P56" s="1037">
        <f>ROUND(SUM(P50:P55),1)</f>
        <v>25.7</v>
      </c>
      <c r="Q56" s="1"/>
      <c r="R56" s="1037">
        <f>ROUND(SUM(R50:R55),1)</f>
        <v>231.6</v>
      </c>
      <c r="S56" s="1"/>
      <c r="T56" s="1956"/>
      <c r="U56" s="1956"/>
      <c r="V56" s="1957">
        <f>ROUND(SUM(V50:V55),1)</f>
        <v>201.4</v>
      </c>
      <c r="W56" s="1"/>
      <c r="X56" s="1957">
        <f>ROUND(SUM(X50:X55),1)</f>
        <v>2401.1</v>
      </c>
      <c r="Y56" s="1968"/>
      <c r="Z56" s="1959"/>
      <c r="AA56" s="1"/>
      <c r="AB56" s="1957">
        <f>ROUND(SUM(AB50:AB55),1)</f>
        <v>181.6</v>
      </c>
      <c r="AC56" s="1"/>
      <c r="AD56" s="1957">
        <f>ROUND(SUM(AD50:AD55),1)</f>
        <v>2909.7</v>
      </c>
      <c r="AE56" s="1955"/>
      <c r="AF56" s="2039"/>
      <c r="AG56" s="1958"/>
      <c r="AH56" s="1969">
        <f t="shared" si="15"/>
        <v>-508.6</v>
      </c>
      <c r="AI56" s="1343"/>
      <c r="AJ56" s="1970">
        <f>ROUND(AH56/AD56,3)</f>
        <v>-0.17499999999999999</v>
      </c>
      <c r="AK56" s="1962"/>
      <c r="AL56" s="1963"/>
      <c r="AM56" s="1949"/>
    </row>
    <row r="57" spans="1:39" ht="18" customHeight="1">
      <c r="A57" s="1361"/>
      <c r="B57" s="1361"/>
      <c r="C57" s="1361"/>
      <c r="D57" s="1386"/>
      <c r="E57" s="1343"/>
      <c r="F57" s="1386"/>
      <c r="G57" s="295"/>
      <c r="H57" s="1386"/>
      <c r="I57" s="1343"/>
      <c r="J57" s="1386"/>
      <c r="K57" s="295"/>
      <c r="L57" s="1386"/>
      <c r="M57" s="1343"/>
      <c r="N57" s="1386"/>
      <c r="O57" s="295"/>
      <c r="P57" s="1386"/>
      <c r="Q57" s="1343"/>
      <c r="R57" s="1386"/>
      <c r="S57" s="295"/>
      <c r="T57" s="1977"/>
      <c r="U57" s="1977"/>
      <c r="V57" s="1386"/>
      <c r="W57" s="295"/>
      <c r="X57" s="1386"/>
      <c r="Y57" s="1343"/>
      <c r="Z57" s="1978"/>
      <c r="AA57" s="295"/>
      <c r="AB57" s="1386"/>
      <c r="AC57" s="295"/>
      <c r="AD57" s="1386"/>
      <c r="AE57" s="1343"/>
      <c r="AF57" s="2040"/>
      <c r="AG57" s="1343"/>
      <c r="AH57" s="1979"/>
      <c r="AI57" s="1343"/>
      <c r="AJ57" s="1980"/>
      <c r="AK57" s="1963"/>
      <c r="AL57" s="1963"/>
      <c r="AM57" s="1949"/>
    </row>
    <row r="58" spans="1:39" ht="18" customHeight="1" thickBot="1">
      <c r="A58" s="1360" t="s">
        <v>333</v>
      </c>
      <c r="B58" s="1361"/>
      <c r="C58" s="1361"/>
      <c r="D58" s="1345">
        <f>ROUND(SUM(D25)+SUM(D38)+SUM(D47)+SUM(D56),1)</f>
        <v>4014.7</v>
      </c>
      <c r="E58" s="1349"/>
      <c r="F58" s="1345">
        <f>ROUND(SUM(F25)+SUM(F38)+SUM(F47)+SUM(F56),1)</f>
        <v>49855.6</v>
      </c>
      <c r="G58" s="2093"/>
      <c r="H58" s="1345">
        <f>ROUND(SUM(H25)+SUM(H38)+SUM(H47)+SUM(H56),1)</f>
        <v>160.19999999999999</v>
      </c>
      <c r="I58" s="1349"/>
      <c r="J58" s="1345">
        <f>ROUND(SUM(J25)+SUM(J38)+SUM(J47)+SUM(J56),1)</f>
        <v>5678.7</v>
      </c>
      <c r="K58" s="1349"/>
      <c r="L58" s="1345">
        <f>ROUND(SUM(L25)+SUM(L38)+SUM(L47)+SUM(L56),1)</f>
        <v>3967.5</v>
      </c>
      <c r="M58" s="1349"/>
      <c r="N58" s="1345">
        <f>ROUND(SUM(N25)+SUM(N38)+SUM(N47)+SUM(N56),1)</f>
        <v>43421.8</v>
      </c>
      <c r="O58" s="1349"/>
      <c r="P58" s="1345">
        <f>ROUND(SUM(P25)+SUM(P38)+SUM(P47)+SUM(P56),1)</f>
        <v>116.1</v>
      </c>
      <c r="Q58" s="1349"/>
      <c r="R58" s="1345">
        <f>ROUND(SUM(R25)+SUM(R38)+SUM(R47)+SUM(R56),1)</f>
        <v>1360.4</v>
      </c>
      <c r="S58" s="1349"/>
      <c r="T58" s="1981"/>
      <c r="U58" s="1349"/>
      <c r="V58" s="1982">
        <f>ROUND(SUM(V25)+SUM(V38)+SUM(V47)+SUM(V56),1)</f>
        <v>8258.5</v>
      </c>
      <c r="W58" s="1349"/>
      <c r="X58" s="1982">
        <f>ROUND(SUM(X25)+SUM(X38)+SUM(X47)+SUM(X56),1)</f>
        <v>100316.5</v>
      </c>
      <c r="Y58" s="1983"/>
      <c r="Z58" s="1984"/>
      <c r="AA58" s="1349"/>
      <c r="AB58" s="1982">
        <f>ROUND(SUM(AB25)+SUM(AB38)+SUM(AB47)+SUM(AB56),1)</f>
        <v>6904.6</v>
      </c>
      <c r="AC58" s="1349"/>
      <c r="AD58" s="1982">
        <f>ROUND(SUM(AD25)+SUM(AD38)+SUM(AD47)+SUM(AD56),1)</f>
        <v>92250.3</v>
      </c>
      <c r="AE58" s="1349"/>
      <c r="AF58" s="2041"/>
      <c r="AG58" s="1349"/>
      <c r="AH58" s="1345">
        <f>ROUND(SUM(X58)-SUM(AD58),1)</f>
        <v>8066.2</v>
      </c>
      <c r="AI58" s="1343"/>
      <c r="AJ58" s="1985">
        <f>ROUND(AH58/AD58,3)</f>
        <v>8.6999999999999994E-2</v>
      </c>
      <c r="AK58" s="1962"/>
      <c r="AL58" s="1963"/>
      <c r="AM58" s="1949"/>
    </row>
    <row r="59" spans="1:39" ht="15" customHeight="1" thickTop="1">
      <c r="F59" s="1356" t="s">
        <v>103</v>
      </c>
      <c r="J59" s="1356" t="s">
        <v>103</v>
      </c>
      <c r="M59" s="1356" t="s">
        <v>103</v>
      </c>
      <c r="N59" s="1356" t="s">
        <v>103</v>
      </c>
      <c r="R59" s="1356" t="s">
        <v>103</v>
      </c>
      <c r="X59" s="1356" t="s">
        <v>103</v>
      </c>
    </row>
    <row r="60" spans="1:39" ht="15" customHeight="1">
      <c r="F60" s="1356" t="s">
        <v>103</v>
      </c>
    </row>
    <row r="61" spans="1:39">
      <c r="H61" s="1356" t="s">
        <v>103</v>
      </c>
      <c r="V61" s="1356" t="s">
        <v>103</v>
      </c>
    </row>
    <row r="62" spans="1:39">
      <c r="H62" s="1356" t="s">
        <v>103</v>
      </c>
    </row>
    <row r="63" spans="1:39">
      <c r="H63" s="1356" t="s">
        <v>103</v>
      </c>
    </row>
    <row r="65" ht="15" customHeight="1"/>
  </sheetData>
  <printOptions horizontalCentered="1"/>
  <pageMargins left="0.4" right="0.25" top="0.5" bottom="0.40277777777777801" header="0" footer="0.25"/>
  <pageSetup scale="44" firstPageNumber="16"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69140625" defaultRowHeight="16.5" customHeight="1"/>
  <cols>
    <col min="1" max="1" width="43.69140625" style="62" customWidth="1"/>
    <col min="2" max="2" width="1.69140625" style="62" customWidth="1"/>
    <col min="3" max="3" width="13.4609375" style="62" customWidth="1"/>
    <col min="4" max="4" width="1.69140625" style="62" customWidth="1"/>
    <col min="5" max="5" width="13.07421875" style="62" customWidth="1"/>
    <col min="6" max="6" width="1.69140625" style="62" customWidth="1"/>
    <col min="7" max="7" width="15.07421875" style="62" customWidth="1"/>
    <col min="8" max="8" width="1.69140625" style="62" customWidth="1"/>
    <col min="9" max="9" width="14.69140625" style="62" customWidth="1"/>
    <col min="10" max="10" width="1.69140625" style="62" customWidth="1"/>
    <col min="11" max="11" width="13.07421875" style="62" customWidth="1"/>
    <col min="12" max="12" width="1.69140625" style="62" customWidth="1"/>
    <col min="13" max="13" width="13.07421875" style="62" customWidth="1"/>
    <col min="14" max="14" width="1.69140625" style="62" customWidth="1"/>
    <col min="15" max="15" width="13.07421875" style="62" customWidth="1"/>
    <col min="16" max="16" width="1.69140625" style="62" customWidth="1"/>
    <col min="17" max="17" width="13.4609375" style="62" customWidth="1"/>
    <col min="18" max="18" width="1.69140625" style="62" customWidth="1"/>
    <col min="19" max="19" width="13.07421875" style="62" customWidth="1"/>
    <col min="20" max="20" width="1.69140625" style="62" customWidth="1"/>
    <col min="21" max="21" width="13" style="62" customWidth="1"/>
    <col min="22" max="22" width="1.69140625" style="62" customWidth="1"/>
    <col min="23" max="23" width="13.69140625" style="62" customWidth="1"/>
    <col min="24" max="24" width="1.69140625" style="62" customWidth="1"/>
    <col min="25" max="25" width="12.69140625" style="62" customWidth="1"/>
    <col min="26" max="27" width="0.69140625" style="62" customWidth="1"/>
    <col min="28" max="28" width="15.07421875" style="62" customWidth="1"/>
    <col min="29" max="30" width="0.69140625" style="62" customWidth="1"/>
    <col min="31" max="31" width="15.07421875" style="62" customWidth="1"/>
    <col min="32" max="33" width="0.69140625" style="62" customWidth="1"/>
    <col min="34" max="34" width="12.69140625" style="62" bestFit="1" customWidth="1"/>
    <col min="35" max="35" width="1.07421875" style="62" customWidth="1"/>
    <col min="36" max="36" width="11.07421875" style="62" customWidth="1"/>
    <col min="37" max="16384" width="8.69140625" style="62"/>
  </cols>
  <sheetData>
    <row r="1" spans="1:37" ht="16.5" customHeight="1">
      <c r="A1" s="275" t="s">
        <v>97</v>
      </c>
    </row>
    <row r="2" spans="1:37" ht="16.5" customHeight="1">
      <c r="A2" s="364"/>
    </row>
    <row r="3" spans="1:37" ht="23.15" customHeight="1">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25" customHeight="1">
      <c r="A4" s="64" t="s">
        <v>334</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22"/>
      <c r="AD5" s="2123"/>
      <c r="AE5" s="2123"/>
      <c r="AF5" s="2123"/>
      <c r="AG5" s="2123"/>
      <c r="AH5" s="2123"/>
      <c r="AI5" s="2123"/>
      <c r="AJ5" s="2123"/>
    </row>
    <row r="6" spans="1:37" ht="23.25" customHeight="1">
      <c r="A6" s="65" t="str">
        <f>'Exh D Governmental  '!A5</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6.5" customHeight="1">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6.5" customHeight="1">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6.5" customHeight="1">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6.5" customHeight="1">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6.5" customHeight="1">
      <c r="A12" s="66"/>
      <c r="B12" s="66"/>
      <c r="C12" s="66" t="s">
        <v>103</v>
      </c>
      <c r="D12" s="66" t="s">
        <v>103</v>
      </c>
      <c r="E12" s="66"/>
      <c r="F12" s="66"/>
      <c r="G12" s="66"/>
      <c r="H12" s="66"/>
      <c r="I12" s="66"/>
      <c r="J12" s="66"/>
      <c r="K12" s="66"/>
      <c r="L12" s="66"/>
      <c r="M12" s="66"/>
      <c r="N12" s="66"/>
      <c r="O12" s="66"/>
      <c r="P12" s="66"/>
      <c r="Q12" s="66"/>
      <c r="R12" s="66"/>
      <c r="S12" s="66"/>
      <c r="T12" s="66"/>
      <c r="U12" s="66"/>
      <c r="V12" s="66"/>
      <c r="W12" s="66"/>
      <c r="X12" s="66"/>
      <c r="Z12" s="66"/>
      <c r="AA12" s="194"/>
      <c r="AB12" s="2124" t="str">
        <f>_xlfn.CONCAT(_xlfn.TEXTBEFORE('Exhibit A'!F11," ")," Months Ended ",PROPER(LEFT(_xlfn.TEXTAFTER('Exh D Governmental  '!A6," ",4),FIND(",",_xlfn.TEXTAFTER('Exh D Governmental  '!A6," ",4))-1)))</f>
        <v>11 Months Ended February 28</v>
      </c>
      <c r="AC12" s="2115"/>
      <c r="AD12" s="2115"/>
      <c r="AE12" s="2115"/>
      <c r="AF12" s="2115"/>
      <c r="AG12" s="2115"/>
      <c r="AH12" s="2115"/>
      <c r="AI12" s="2115"/>
      <c r="AJ12" s="2115"/>
    </row>
    <row r="13" spans="1:37" ht="16.5" customHeight="1">
      <c r="A13" s="66"/>
      <c r="B13" s="66"/>
      <c r="C13" s="570" t="str">
        <f>RIGHT(_xlfn.TEXTBEFORE(A6,"-"),4)</f>
        <v>2024</v>
      </c>
      <c r="D13" s="192"/>
      <c r="E13" s="192"/>
      <c r="F13" s="192"/>
      <c r="G13" s="192"/>
      <c r="H13" s="192"/>
      <c r="I13" s="192"/>
      <c r="J13" s="192"/>
      <c r="K13" s="192"/>
      <c r="L13" s="192"/>
      <c r="M13" s="192"/>
      <c r="N13" s="192"/>
      <c r="O13" s="192"/>
      <c r="P13" s="192"/>
      <c r="Q13" s="192"/>
      <c r="R13" s="192"/>
      <c r="S13" s="192"/>
      <c r="T13" s="192"/>
      <c r="U13" s="570">
        <f>C13+1</f>
        <v>2025</v>
      </c>
      <c r="V13" s="192"/>
      <c r="W13" s="192"/>
      <c r="X13" s="192"/>
      <c r="Y13" s="192"/>
      <c r="Z13" s="192"/>
      <c r="AA13" s="192"/>
      <c r="AB13" s="192"/>
      <c r="AC13" s="192"/>
      <c r="AD13" s="192"/>
      <c r="AE13" s="192"/>
      <c r="AF13" s="192"/>
      <c r="AG13" s="192"/>
      <c r="AH13" s="327" t="s">
        <v>110</v>
      </c>
      <c r="AI13" s="877"/>
      <c r="AJ13" s="327" t="s">
        <v>111</v>
      </c>
    </row>
    <row r="14" spans="1:37" ht="16.5" customHeight="1">
      <c r="A14" s="66"/>
      <c r="B14" s="66"/>
      <c r="C14" s="327" t="s">
        <v>336</v>
      </c>
      <c r="D14" s="192"/>
      <c r="E14" s="327" t="s">
        <v>337</v>
      </c>
      <c r="F14" s="192"/>
      <c r="G14" s="327" t="s">
        <v>338</v>
      </c>
      <c r="H14" s="192"/>
      <c r="I14" s="327" t="s">
        <v>339</v>
      </c>
      <c r="J14" s="192"/>
      <c r="K14" s="327" t="s">
        <v>340</v>
      </c>
      <c r="L14" s="192"/>
      <c r="M14" s="327" t="s">
        <v>341</v>
      </c>
      <c r="N14" s="192"/>
      <c r="O14" s="327" t="s">
        <v>342</v>
      </c>
      <c r="P14" s="192"/>
      <c r="Q14" s="327" t="s">
        <v>343</v>
      </c>
      <c r="R14" s="192"/>
      <c r="S14" s="327" t="s">
        <v>344</v>
      </c>
      <c r="T14" s="192"/>
      <c r="U14" s="327" t="s">
        <v>345</v>
      </c>
      <c r="V14" s="192"/>
      <c r="W14" s="327" t="s">
        <v>346</v>
      </c>
      <c r="X14" s="192"/>
      <c r="Y14" s="327" t="s">
        <v>347</v>
      </c>
      <c r="Z14" s="192"/>
      <c r="AA14" s="192"/>
      <c r="AB14" s="873" t="str">
        <f>RIGHT('Exhibit A'!D12,4)</f>
        <v>2025</v>
      </c>
      <c r="AC14" s="192"/>
      <c r="AD14" s="192"/>
      <c r="AE14" s="873" t="str">
        <f>RIGHT('Exhibit A'!AB12,4)</f>
        <v>2024</v>
      </c>
      <c r="AF14" s="192"/>
      <c r="AG14" s="192"/>
      <c r="AH14" s="889" t="s">
        <v>112</v>
      </c>
      <c r="AI14" s="877"/>
      <c r="AJ14" s="889" t="s">
        <v>113</v>
      </c>
    </row>
    <row r="15" spans="1:37" ht="6" customHeight="1">
      <c r="A15" s="66"/>
      <c r="B15" s="66"/>
      <c r="C15" s="1038"/>
      <c r="D15" s="66"/>
      <c r="E15" s="1038"/>
      <c r="F15" s="66"/>
      <c r="G15" s="1038"/>
      <c r="H15" s="66"/>
      <c r="I15" s="1038"/>
      <c r="J15" s="66"/>
      <c r="K15" s="1038"/>
      <c r="L15" s="66"/>
      <c r="M15" s="1038"/>
      <c r="N15" s="66"/>
      <c r="O15" s="1038" t="s">
        <v>103</v>
      </c>
      <c r="P15" s="66"/>
      <c r="Q15" s="1038"/>
      <c r="R15" s="66"/>
      <c r="S15" s="1038"/>
      <c r="T15" s="66"/>
      <c r="U15" s="1038" t="s">
        <v>103</v>
      </c>
      <c r="V15" s="66"/>
      <c r="W15" s="1038"/>
      <c r="X15" s="66"/>
      <c r="Y15" s="1038"/>
      <c r="Z15" s="66"/>
      <c r="AA15" s="66"/>
      <c r="AB15" s="1038"/>
      <c r="AC15" s="66"/>
      <c r="AD15" s="66"/>
      <c r="AE15" s="1038"/>
      <c r="AF15" s="66"/>
      <c r="AG15" s="195"/>
      <c r="AI15" s="66"/>
    </row>
    <row r="16" spans="1:37" ht="16.5" customHeight="1">
      <c r="A16" s="193" t="s">
        <v>348</v>
      </c>
      <c r="B16" s="66"/>
      <c r="C16" s="195">
        <f>'Exhibit F'!D13+'Exhibit G'!D13+'Exhibit H'!B13+'Exhibit I'!E13</f>
        <v>65912.2</v>
      </c>
      <c r="D16" s="195"/>
      <c r="E16" s="195">
        <f>C149</f>
        <v>72246</v>
      </c>
      <c r="F16" s="195"/>
      <c r="G16" s="195">
        <f>E149</f>
        <v>68512</v>
      </c>
      <c r="H16" s="195"/>
      <c r="I16" s="195">
        <f>G149</f>
        <v>73078</v>
      </c>
      <c r="J16" s="195"/>
      <c r="K16" s="195">
        <f>I149</f>
        <v>71944.600000000006</v>
      </c>
      <c r="L16" s="195"/>
      <c r="M16" s="195">
        <f>K149</f>
        <v>72420.5</v>
      </c>
      <c r="N16" s="195"/>
      <c r="O16" s="195">
        <f>M149</f>
        <v>74031.199999999997</v>
      </c>
      <c r="P16" s="195"/>
      <c r="Q16" s="195">
        <f>O149</f>
        <v>67909.3</v>
      </c>
      <c r="R16" s="195"/>
      <c r="S16" s="195">
        <f>Q149</f>
        <v>66772.600000000006</v>
      </c>
      <c r="T16" s="195"/>
      <c r="U16" s="195">
        <f>S149</f>
        <v>72077.5</v>
      </c>
      <c r="V16" s="195"/>
      <c r="W16" s="195">
        <f>U149</f>
        <v>75384.100000000006</v>
      </c>
      <c r="X16" s="195"/>
      <c r="Y16" s="195"/>
      <c r="Z16" s="195"/>
      <c r="AA16" s="196"/>
      <c r="AB16" s="195">
        <f>C16</f>
        <v>65912.2</v>
      </c>
      <c r="AC16" s="195"/>
      <c r="AD16" s="878"/>
      <c r="AE16" s="195">
        <f>'Exhibit F'!AF13+'Exhibit G'!AH13+'Exhibit H'!AD13+'Exhibit I'!AI13</f>
        <v>65955.699999999983</v>
      </c>
      <c r="AF16" s="1628"/>
      <c r="AH16" s="195">
        <f>ROUND(SUM(AB16-AE16),1)</f>
        <v>-43.5</v>
      </c>
      <c r="AI16" s="192"/>
      <c r="AJ16" s="78">
        <f>ROUND(SUM(AH16/AE16),3)</f>
        <v>-1E-3</v>
      </c>
      <c r="AK16" s="134"/>
    </row>
    <row r="17" spans="1:37" ht="16.5" customHeight="1">
      <c r="A17" s="66"/>
      <c r="B17" s="66"/>
      <c r="C17" s="66" t="s">
        <v>103</v>
      </c>
      <c r="D17" s="66"/>
      <c r="E17" s="197"/>
      <c r="F17" s="197"/>
      <c r="G17" s="197"/>
      <c r="H17" s="66"/>
      <c r="I17" s="197"/>
      <c r="J17" s="66"/>
      <c r="K17" s="197"/>
      <c r="L17" s="66"/>
      <c r="M17" s="197"/>
      <c r="N17" s="66"/>
      <c r="O17" s="197"/>
      <c r="P17" s="66"/>
      <c r="Q17" s="197"/>
      <c r="R17" s="66"/>
      <c r="S17" s="197"/>
      <c r="T17" s="66"/>
      <c r="U17" s="197"/>
      <c r="V17" s="66"/>
      <c r="W17" s="197"/>
      <c r="X17" s="66"/>
      <c r="Y17" s="197"/>
      <c r="Z17" s="66"/>
      <c r="AA17" s="198"/>
      <c r="AB17" s="66" t="s">
        <v>103</v>
      </c>
      <c r="AC17" s="66"/>
      <c r="AD17" s="879"/>
      <c r="AE17" s="66" t="s">
        <v>103</v>
      </c>
      <c r="AF17" s="1627"/>
      <c r="AG17" s="66"/>
      <c r="AH17" s="278"/>
      <c r="AI17" s="66"/>
      <c r="AJ17" s="278"/>
    </row>
    <row r="18" spans="1:37" ht="16.5" customHeight="1">
      <c r="A18" s="40" t="s">
        <v>114</v>
      </c>
      <c r="B18" s="66"/>
      <c r="C18" s="66"/>
      <c r="D18" s="66"/>
      <c r="E18" s="197"/>
      <c r="F18" s="197"/>
      <c r="G18" s="197"/>
      <c r="H18" s="66"/>
      <c r="I18" s="197"/>
      <c r="J18" s="66"/>
      <c r="K18" s="197"/>
      <c r="L18" s="66"/>
      <c r="M18" s="197"/>
      <c r="N18" s="66"/>
      <c r="O18" s="197"/>
      <c r="P18" s="66"/>
      <c r="Q18" s="197"/>
      <c r="R18" s="66"/>
      <c r="S18" s="197"/>
      <c r="T18" s="66"/>
      <c r="U18" s="197"/>
      <c r="V18" s="66"/>
      <c r="W18" s="197"/>
      <c r="X18" s="66"/>
      <c r="Y18" s="197"/>
      <c r="Z18" s="66"/>
      <c r="AA18" s="198"/>
      <c r="AB18" s="66"/>
      <c r="AC18" s="66"/>
      <c r="AD18" s="879"/>
      <c r="AE18" s="66"/>
      <c r="AF18" s="1627"/>
      <c r="AG18" s="66"/>
      <c r="AH18" s="278"/>
      <c r="AI18" s="66"/>
      <c r="AJ18" s="278"/>
    </row>
    <row r="19" spans="1:37" ht="16.5" customHeight="1">
      <c r="A19" s="1248" t="s">
        <v>349</v>
      </c>
      <c r="B19" s="66"/>
      <c r="C19" s="66"/>
      <c r="D19" s="66"/>
      <c r="E19" s="197"/>
      <c r="F19" s="197"/>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1627"/>
      <c r="AG19" s="66"/>
      <c r="AH19" s="278"/>
      <c r="AI19" s="66"/>
      <c r="AJ19" s="278"/>
    </row>
    <row r="20" spans="1:37" ht="16.5" customHeight="1">
      <c r="A20" s="423" t="s">
        <v>350</v>
      </c>
      <c r="B20" s="294"/>
      <c r="C20" s="264"/>
      <c r="D20" s="264"/>
      <c r="E20" s="264"/>
      <c r="F20" s="264"/>
      <c r="G20" s="264"/>
      <c r="H20" s="66"/>
      <c r="I20" s="264"/>
      <c r="J20" s="66"/>
      <c r="K20" s="197"/>
      <c r="L20" s="66"/>
      <c r="M20" s="197"/>
      <c r="N20" s="66"/>
      <c r="O20" s="197"/>
      <c r="P20" s="66"/>
      <c r="Q20" s="197"/>
      <c r="R20" s="66"/>
      <c r="S20" s="197"/>
      <c r="T20" s="66"/>
      <c r="U20" s="197"/>
      <c r="V20" s="66"/>
      <c r="W20" s="197"/>
      <c r="X20" s="66"/>
      <c r="Y20" s="197"/>
      <c r="Z20" s="66"/>
      <c r="AA20" s="401"/>
      <c r="AB20" s="66"/>
      <c r="AC20" s="66"/>
      <c r="AD20" s="879"/>
      <c r="AE20" s="66"/>
      <c r="AF20" s="1627"/>
      <c r="AG20" s="66"/>
      <c r="AH20" s="278"/>
      <c r="AI20" s="66"/>
      <c r="AJ20" s="278"/>
    </row>
    <row r="21" spans="1:37" ht="16.5" customHeight="1">
      <c r="A21" s="294" t="s">
        <v>351</v>
      </c>
      <c r="B21" s="294"/>
      <c r="C21" s="110">
        <f>+'Exhibit F'!D18</f>
        <v>4294.5</v>
      </c>
      <c r="D21" s="110"/>
      <c r="E21" s="110">
        <f>+'Exhibit F'!F18</f>
        <v>4554.5</v>
      </c>
      <c r="F21" s="110"/>
      <c r="G21" s="110">
        <f>+'Exhibit F'!H18</f>
        <v>3816.2999999999993</v>
      </c>
      <c r="H21" s="199"/>
      <c r="I21" s="110">
        <f>+'Exhibit F'!J18</f>
        <v>4306.1000000000022</v>
      </c>
      <c r="J21" s="199"/>
      <c r="K21" s="110">
        <f>+'Exhibit F'!L18</f>
        <v>3966</v>
      </c>
      <c r="L21" s="66"/>
      <c r="M21" s="110">
        <f>+'Exhibit F'!N18</f>
        <v>3815.5999999999985</v>
      </c>
      <c r="N21" s="66"/>
      <c r="O21" s="110">
        <f>+'Exhibit F'!P18</f>
        <v>4235.2000000000007</v>
      </c>
      <c r="P21" s="66"/>
      <c r="Q21" s="110">
        <f>+'Exhibit F'!R18</f>
        <v>4177.9999999999964</v>
      </c>
      <c r="R21" s="110"/>
      <c r="S21" s="110">
        <f>+'Exhibit F'!T18</f>
        <v>5668.8000000000029</v>
      </c>
      <c r="T21" s="110"/>
      <c r="U21" s="110">
        <f>+'Exhibit F'!V18</f>
        <v>6780.4000000000015</v>
      </c>
      <c r="V21" s="110"/>
      <c r="W21" s="110">
        <f>+'Exhibit F'!X18</f>
        <v>7382.5999999999985</v>
      </c>
      <c r="X21" s="110"/>
      <c r="Y21" s="110"/>
      <c r="Z21" s="66"/>
      <c r="AA21" s="401"/>
      <c r="AB21" s="199">
        <f>ROUND(SUM(C21:Y21),1)</f>
        <v>52998</v>
      </c>
      <c r="AC21" s="66"/>
      <c r="AD21" s="879"/>
      <c r="AE21" s="110">
        <f>+'Exhibit F'!AF18</f>
        <v>48602.6</v>
      </c>
      <c r="AF21" s="1627"/>
      <c r="AG21" s="66"/>
      <c r="AH21" s="274">
        <f>ROUND(SUM(+AB21-AE21),1)</f>
        <v>4395.3999999999996</v>
      </c>
      <c r="AI21" s="67"/>
      <c r="AJ21" s="384">
        <f>ROUND(IF(AE21=0,0,AH21/ABS(AE21)),3)</f>
        <v>0.09</v>
      </c>
    </row>
    <row r="22" spans="1:37" ht="16.5" customHeight="1">
      <c r="A22" s="294" t="s">
        <v>352</v>
      </c>
      <c r="B22" s="296"/>
      <c r="C22" s="110">
        <f>+'Exhibit F'!D19</f>
        <v>5344.2</v>
      </c>
      <c r="D22" s="110"/>
      <c r="E22" s="110">
        <f>+'Exhibit F'!F19</f>
        <v>102.10000000000036</v>
      </c>
      <c r="F22" s="110"/>
      <c r="G22" s="110">
        <f>+'Exhibit F'!H19</f>
        <v>1571.6999999999998</v>
      </c>
      <c r="H22" s="199"/>
      <c r="I22" s="110">
        <f>+'Exhibit F'!J19</f>
        <v>118.5</v>
      </c>
      <c r="J22" s="199"/>
      <c r="K22" s="110">
        <f>+'Exhibit F'!L19</f>
        <v>98.800000000000182</v>
      </c>
      <c r="L22" s="66"/>
      <c r="M22" s="110">
        <f>+'Exhibit F'!N19</f>
        <v>1801.5999999999995</v>
      </c>
      <c r="N22" s="66"/>
      <c r="O22" s="110">
        <f>+'Exhibit F'!P19</f>
        <v>177.60000000000036</v>
      </c>
      <c r="P22" s="66"/>
      <c r="Q22" s="110">
        <f>+'Exhibit F'!R19</f>
        <v>93.5</v>
      </c>
      <c r="R22" s="66"/>
      <c r="S22" s="110">
        <f>+'Exhibit F'!T19</f>
        <v>232.29999999999927</v>
      </c>
      <c r="T22" s="66"/>
      <c r="U22" s="110">
        <f>+'Exhibit F'!V19</f>
        <v>2523.8000000000011</v>
      </c>
      <c r="V22" s="110"/>
      <c r="W22" s="110">
        <f>+'Exhibit F'!X19</f>
        <v>118.69999999999891</v>
      </c>
      <c r="X22" s="110"/>
      <c r="Y22" s="110"/>
      <c r="Z22" s="66"/>
      <c r="AA22" s="401"/>
      <c r="AB22" s="199">
        <f>ROUND(SUM(C22:Y22),1)</f>
        <v>12182.8</v>
      </c>
      <c r="AC22" s="66"/>
      <c r="AD22" s="879"/>
      <c r="AE22" s="110">
        <f>+'Exhibit F'!AF19</f>
        <v>10685.8</v>
      </c>
      <c r="AF22" s="1627"/>
      <c r="AG22" s="66"/>
      <c r="AH22" s="274">
        <f>ROUND(SUM(+AB22-AE22),1)</f>
        <v>1497</v>
      </c>
      <c r="AI22" s="67"/>
      <c r="AJ22" s="880">
        <f>ROUND(IF(AE22=0,0,AH22/ABS(AE22)),3)</f>
        <v>0.14000000000000001</v>
      </c>
    </row>
    <row r="23" spans="1:37" ht="16.5" customHeight="1">
      <c r="A23" s="294" t="s">
        <v>353</v>
      </c>
      <c r="B23" s="294"/>
      <c r="C23" s="110">
        <f>+'Exhibit F'!D20</f>
        <v>2160</v>
      </c>
      <c r="D23" s="110"/>
      <c r="E23" s="110">
        <f>+'Exhibit F'!F20</f>
        <v>95.5</v>
      </c>
      <c r="F23" s="110"/>
      <c r="G23" s="110">
        <f>+'Exhibit F'!H20</f>
        <v>68.800000000000182</v>
      </c>
      <c r="H23" s="199"/>
      <c r="I23" s="110">
        <f>+'Exhibit F'!J20</f>
        <v>70.199999999999818</v>
      </c>
      <c r="J23" s="199"/>
      <c r="K23" s="110">
        <f>+'Exhibit F'!L20</f>
        <v>60.800000000000182</v>
      </c>
      <c r="L23" s="66"/>
      <c r="M23" s="110">
        <f>+'Exhibit F'!N20</f>
        <v>104.19999999999982</v>
      </c>
      <c r="N23" s="66"/>
      <c r="O23" s="110">
        <f>+'Exhibit F'!P20</f>
        <v>672.70000000000027</v>
      </c>
      <c r="P23" s="66"/>
      <c r="Q23" s="110">
        <f>+'Exhibit F'!R20</f>
        <v>54.499999999999545</v>
      </c>
      <c r="R23" s="66"/>
      <c r="S23" s="110">
        <f>+'Exhibit F'!T20</f>
        <v>37.300000000000182</v>
      </c>
      <c r="T23" s="66"/>
      <c r="U23" s="110">
        <f>+'Exhibit F'!V20</f>
        <v>32.599999999999909</v>
      </c>
      <c r="V23" s="110"/>
      <c r="W23" s="110">
        <f>+'Exhibit F'!X20</f>
        <v>105.80000000000018</v>
      </c>
      <c r="X23" s="110"/>
      <c r="Y23" s="110"/>
      <c r="Z23" s="66"/>
      <c r="AA23" s="401"/>
      <c r="AB23" s="199">
        <f>ROUND(SUM(C23:Y23),1)</f>
        <v>3462.4</v>
      </c>
      <c r="AC23" s="66"/>
      <c r="AD23" s="879"/>
      <c r="AE23" s="110">
        <f>+'Exhibit F'!AF20</f>
        <v>3527</v>
      </c>
      <c r="AF23" s="1627"/>
      <c r="AG23" s="66"/>
      <c r="AH23" s="274">
        <f>ROUND(SUM(+AB23-AE23),1)</f>
        <v>-64.599999999999994</v>
      </c>
      <c r="AI23" s="67"/>
      <c r="AJ23" s="384">
        <f>ROUND(IF(AE23=0,0,AH23/ABS(AE23)),3)</f>
        <v>-1.7999999999999999E-2</v>
      </c>
    </row>
    <row r="24" spans="1:37" ht="16.5" customHeight="1">
      <c r="A24" s="431" t="s">
        <v>354</v>
      </c>
      <c r="B24" s="294"/>
      <c r="C24" s="110">
        <f>+'Exhibit F'!D21</f>
        <v>-480</v>
      </c>
      <c r="D24" s="110"/>
      <c r="E24" s="110">
        <f>+'Exhibit F'!F21</f>
        <v>-45.100000000000023</v>
      </c>
      <c r="F24" s="110"/>
      <c r="G24" s="110">
        <f>+'Exhibit F'!H21</f>
        <v>-37.799999999999955</v>
      </c>
      <c r="H24" s="199"/>
      <c r="I24" s="110">
        <f>+'Exhibit F'!J21</f>
        <v>-38</v>
      </c>
      <c r="J24" s="199"/>
      <c r="K24" s="110">
        <f>+'Exhibit F'!L21</f>
        <v>-43</v>
      </c>
      <c r="L24" s="66"/>
      <c r="M24" s="110">
        <f>+'Exhibit F'!N21</f>
        <v>-89.600000000000023</v>
      </c>
      <c r="N24" s="66"/>
      <c r="O24" s="110">
        <f>+'Exhibit F'!P21</f>
        <v>-425.40000000000009</v>
      </c>
      <c r="P24" s="66"/>
      <c r="Q24" s="110">
        <f>+'Exhibit F'!R21</f>
        <v>-64.099999999999909</v>
      </c>
      <c r="R24" s="66"/>
      <c r="S24" s="110">
        <f>+'Exhibit F'!T21</f>
        <v>-0.90000000000009095</v>
      </c>
      <c r="T24" s="66"/>
      <c r="U24" s="110">
        <f>+'Exhibit F'!V21</f>
        <v>-8.5999999999999091</v>
      </c>
      <c r="V24" s="110"/>
      <c r="W24" s="110">
        <f>+'Exhibit F'!X21</f>
        <v>-54.400000000000091</v>
      </c>
      <c r="X24" s="110"/>
      <c r="Y24" s="110"/>
      <c r="Z24" s="66"/>
      <c r="AA24" s="401"/>
      <c r="AB24" s="199">
        <f t="shared" ref="AB24:AB29" si="0">ROUND(SUM(C24:Y24),1)</f>
        <v>-1286.9000000000001</v>
      </c>
      <c r="AC24" s="66"/>
      <c r="AD24" s="879"/>
      <c r="AE24" s="110">
        <f>+'Exhibit F'!AF21</f>
        <v>-1156.7</v>
      </c>
      <c r="AF24" s="1627"/>
      <c r="AG24" s="66"/>
      <c r="AH24" s="274">
        <f>-ROUND(SUM(+AB24-AE24),1)</f>
        <v>130.19999999999999</v>
      </c>
      <c r="AI24" s="67"/>
      <c r="AJ24" s="276">
        <f>ROUND(IF(AE24=0,0,AH24/ABS(AE24)),3)</f>
        <v>0.113</v>
      </c>
    </row>
    <row r="25" spans="1:37" ht="16.5" customHeight="1">
      <c r="A25" s="431" t="s">
        <v>355</v>
      </c>
      <c r="B25" s="294"/>
      <c r="C25" s="110">
        <f>+'Exhibit F'!D22</f>
        <v>231.9</v>
      </c>
      <c r="D25" s="110"/>
      <c r="E25" s="110">
        <f>+'Exhibit F'!F22</f>
        <v>135.9</v>
      </c>
      <c r="F25" s="110"/>
      <c r="G25" s="110">
        <f>+'Exhibit F'!H22</f>
        <v>117.19999999999999</v>
      </c>
      <c r="H25" s="199"/>
      <c r="I25" s="110">
        <f>+'Exhibit F'!J22</f>
        <v>132.9</v>
      </c>
      <c r="J25" s="199"/>
      <c r="K25" s="110">
        <f>+'Exhibit F'!L22</f>
        <v>110.20000000000007</v>
      </c>
      <c r="L25" s="66"/>
      <c r="M25" s="110">
        <f>+'Exhibit F'!N22</f>
        <v>105</v>
      </c>
      <c r="N25" s="66"/>
      <c r="O25" s="110">
        <f>+'Exhibit F'!P22</f>
        <v>150.39999999999998</v>
      </c>
      <c r="P25" s="66"/>
      <c r="Q25" s="110">
        <f>+'Exhibit F'!R22</f>
        <v>190</v>
      </c>
      <c r="R25" s="66"/>
      <c r="S25" s="110">
        <f>+'Exhibit F'!T22</f>
        <v>166.29999999999995</v>
      </c>
      <c r="T25" s="66"/>
      <c r="U25" s="110">
        <f>+'Exhibit F'!V22</f>
        <v>141.20000000000005</v>
      </c>
      <c r="V25" s="110"/>
      <c r="W25" s="110">
        <f>+'Exhibit F'!X22</f>
        <v>160.40000000000009</v>
      </c>
      <c r="X25" s="110"/>
      <c r="Y25" s="110"/>
      <c r="Z25" s="66"/>
      <c r="AA25" s="401"/>
      <c r="AB25" s="199">
        <f t="shared" si="0"/>
        <v>1641.4</v>
      </c>
      <c r="AC25" s="66"/>
      <c r="AD25" s="879"/>
      <c r="AE25" s="110">
        <f>+'Exhibit F'!AF22</f>
        <v>1563.3</v>
      </c>
      <c r="AF25" s="1627"/>
      <c r="AG25" s="66"/>
      <c r="AH25" s="274">
        <f>ROUND(SUM(+AB25-AE25),1)</f>
        <v>78.099999999999994</v>
      </c>
      <c r="AI25" s="67"/>
      <c r="AJ25" s="276">
        <f t="shared" ref="AJ25:AJ30" si="1">ROUND(IF(AE25=0,0,AH25/ABS(AE25)),3)</f>
        <v>0.05</v>
      </c>
    </row>
    <row r="26" spans="1:37" ht="16.5" customHeight="1">
      <c r="A26" s="295" t="s">
        <v>356</v>
      </c>
      <c r="B26" s="295"/>
      <c r="C26" s="1037">
        <f>ROUND(SUM(C21:C25),1)</f>
        <v>11550.6</v>
      </c>
      <c r="D26" s="1"/>
      <c r="E26" s="1037">
        <f>ROUND(SUM(E21:E25),1)</f>
        <v>4842.8999999999996</v>
      </c>
      <c r="F26" s="1"/>
      <c r="G26" s="1037">
        <f>ROUND(SUM(G21:G25),1)</f>
        <v>5536.2</v>
      </c>
      <c r="H26" s="66"/>
      <c r="I26" s="1039">
        <f>ROUND(SUM(I21:I25),1)</f>
        <v>4589.7</v>
      </c>
      <c r="J26" s="66"/>
      <c r="K26" s="1039">
        <f>ROUND(SUM(K21:K25),1)</f>
        <v>4192.8</v>
      </c>
      <c r="L26" s="66"/>
      <c r="M26" s="1039">
        <f>ROUND(SUM(M21:M25),1)</f>
        <v>5736.8</v>
      </c>
      <c r="N26" s="66"/>
      <c r="O26" s="1039">
        <f>ROUND(SUM(O21:O25),1)</f>
        <v>4810.5</v>
      </c>
      <c r="P26" s="66"/>
      <c r="Q26" s="1039">
        <f>ROUND(SUM(Q21:Q25),1)</f>
        <v>4451.8999999999996</v>
      </c>
      <c r="R26" s="66"/>
      <c r="S26" s="1039">
        <f>ROUND(SUM(S21:S25),1)</f>
        <v>6103.8</v>
      </c>
      <c r="T26" s="66"/>
      <c r="U26" s="1039">
        <f>ROUND(SUM(U21:U25),1)</f>
        <v>9469.4</v>
      </c>
      <c r="V26" s="66"/>
      <c r="W26" s="1039">
        <f>ROUND(SUM(W21:W25),1)</f>
        <v>7713.1</v>
      </c>
      <c r="X26" s="66"/>
      <c r="Y26" s="1039">
        <f>ROUND(SUM(Y21:Y25),1)</f>
        <v>0</v>
      </c>
      <c r="Z26" s="66"/>
      <c r="AA26" s="401"/>
      <c r="AB26" s="1040">
        <f>ROUND(SUM(C26:Y26),1)</f>
        <v>68997.7</v>
      </c>
      <c r="AC26" s="66"/>
      <c r="AD26" s="879"/>
      <c r="AE26" s="1039">
        <f>ROUND(SUM(AE21:AE25),1)</f>
        <v>63222</v>
      </c>
      <c r="AF26" s="1627"/>
      <c r="AG26" s="66"/>
      <c r="AH26" s="687">
        <f>ROUND(SUM(AB26-AE26),1)</f>
        <v>5775.7</v>
      </c>
      <c r="AI26" s="67"/>
      <c r="AJ26" s="1009">
        <f t="shared" si="1"/>
        <v>9.0999999999999998E-2</v>
      </c>
      <c r="AK26" s="62" t="s">
        <v>103</v>
      </c>
    </row>
    <row r="27" spans="1:37" ht="16.5" customHeight="1">
      <c r="A27" s="431" t="s">
        <v>357</v>
      </c>
      <c r="B27" s="294"/>
      <c r="C27" s="1036">
        <v>0</v>
      </c>
      <c r="D27" s="1036"/>
      <c r="E27" s="1036">
        <v>0</v>
      </c>
      <c r="F27" s="1036"/>
      <c r="G27" s="1036">
        <v>0</v>
      </c>
      <c r="H27" s="199"/>
      <c r="I27" s="1036">
        <v>0</v>
      </c>
      <c r="J27" s="199"/>
      <c r="K27" s="1036">
        <v>0</v>
      </c>
      <c r="L27" s="66"/>
      <c r="M27" s="1036">
        <v>0</v>
      </c>
      <c r="N27" s="66"/>
      <c r="O27" s="1036">
        <v>0</v>
      </c>
      <c r="P27" s="66"/>
      <c r="Q27" s="1036">
        <v>0</v>
      </c>
      <c r="R27" s="265"/>
      <c r="S27" s="1036">
        <v>0</v>
      </c>
      <c r="T27" s="265"/>
      <c r="U27" s="1036">
        <v>0</v>
      </c>
      <c r="V27" s="265"/>
      <c r="W27" s="1036">
        <v>0</v>
      </c>
      <c r="X27" s="265"/>
      <c r="Y27" s="1036"/>
      <c r="Z27" s="66"/>
      <c r="AA27" s="401"/>
      <c r="AB27" s="199">
        <f t="shared" si="0"/>
        <v>0</v>
      </c>
      <c r="AC27" s="66"/>
      <c r="AD27" s="879"/>
      <c r="AE27" s="1036">
        <f>+'Exhibit F'!AF24+'Exhibit G'!AH17</f>
        <v>0</v>
      </c>
      <c r="AF27" s="1627"/>
      <c r="AG27" s="66"/>
      <c r="AH27" s="274">
        <f>ROUND(SUM(+AB27-AE27),1)</f>
        <v>0</v>
      </c>
      <c r="AI27" s="67"/>
      <c r="AJ27" s="276">
        <f t="shared" si="1"/>
        <v>0</v>
      </c>
    </row>
    <row r="28" spans="1:37" ht="16.5" customHeight="1">
      <c r="A28" s="431" t="s">
        <v>358</v>
      </c>
      <c r="B28" s="294"/>
      <c r="C28" s="265">
        <f>'Exhibit F'!D25+'Exhibit H'!B17</f>
        <v>0</v>
      </c>
      <c r="D28" s="265"/>
      <c r="E28" s="265">
        <f>'Exhibit F'!F25+'Exhibit H'!D17</f>
        <v>0</v>
      </c>
      <c r="F28" s="265"/>
      <c r="G28" s="265">
        <f>'Exhibit F'!H25+'Exhibit H'!F17</f>
        <v>0</v>
      </c>
      <c r="H28" s="199"/>
      <c r="I28" s="265">
        <f>'Exhibit F'!J25+'Exhibit H'!H17</f>
        <v>0</v>
      </c>
      <c r="J28" s="199"/>
      <c r="K28" s="265">
        <f>'Exhibit F'!L25+'Exhibit H'!J17</f>
        <v>0</v>
      </c>
      <c r="L28" s="66"/>
      <c r="M28" s="265">
        <f>'Exhibit F'!N25+'Exhibit H'!L17</f>
        <v>0</v>
      </c>
      <c r="N28" s="66"/>
      <c r="O28" s="265">
        <f>'Exhibit F'!P25+'Exhibit H'!N17</f>
        <v>0</v>
      </c>
      <c r="P28" s="66"/>
      <c r="Q28" s="265">
        <f>'Exhibit F'!R25+'Exhibit H'!P17</f>
        <v>0</v>
      </c>
      <c r="R28" s="265"/>
      <c r="S28" s="265">
        <f>'Exhibit F'!T25+'Exhibit H'!R17</f>
        <v>0</v>
      </c>
      <c r="T28" s="265"/>
      <c r="U28" s="265">
        <f>'Exhibit F'!V25+'Exhibit H'!T17</f>
        <v>0</v>
      </c>
      <c r="V28" s="265"/>
      <c r="W28" s="265">
        <f>'Exhibit F'!X25+'Exhibit H'!V17</f>
        <v>0</v>
      </c>
      <c r="X28" s="265"/>
      <c r="Y28" s="265"/>
      <c r="Z28" s="66"/>
      <c r="AA28" s="401"/>
      <c r="AB28" s="199">
        <f>ROUND(SUM(C28:Y28),1)</f>
        <v>0</v>
      </c>
      <c r="AC28" s="66"/>
      <c r="AD28" s="879"/>
      <c r="AE28" s="265">
        <f>+'Exhibit F'!AF25+'Exhibit H'!AD17</f>
        <v>0</v>
      </c>
      <c r="AF28" s="1627"/>
      <c r="AG28" s="66"/>
      <c r="AH28" s="274">
        <f>ROUND(SUM(+AB28-AE28),1)</f>
        <v>0</v>
      </c>
      <c r="AI28" s="67"/>
      <c r="AJ28" s="276">
        <f>ROUND(IF(AE28=0,0,AH28/ABS(AE28)),3)</f>
        <v>0</v>
      </c>
    </row>
    <row r="29" spans="1:37" ht="16.5" customHeight="1">
      <c r="A29" s="294" t="s">
        <v>359</v>
      </c>
      <c r="B29" s="294"/>
      <c r="C29" s="110">
        <f>+'Exhibit F'!D26</f>
        <v>-4251.2</v>
      </c>
      <c r="D29" s="110"/>
      <c r="E29" s="110">
        <f>+'Exhibit F'!F26</f>
        <v>-989.69999999999982</v>
      </c>
      <c r="F29" s="110"/>
      <c r="G29" s="110">
        <f>+'Exhibit F'!H26</f>
        <v>-432</v>
      </c>
      <c r="H29" s="199"/>
      <c r="I29" s="110">
        <f>+'Exhibit F'!J26</f>
        <v>-407.20000000000073</v>
      </c>
      <c r="J29" s="199"/>
      <c r="K29" s="110">
        <f>+'Exhibit F'!L26</f>
        <v>-680.89999999999964</v>
      </c>
      <c r="L29" s="66"/>
      <c r="M29" s="110">
        <f>+'Exhibit F'!N26</f>
        <v>-761.19999999999982</v>
      </c>
      <c r="N29" s="66"/>
      <c r="O29" s="110">
        <f>+'Exhibit F'!P26</f>
        <v>-2068.6999999999998</v>
      </c>
      <c r="P29" s="66"/>
      <c r="Q29" s="110">
        <f>+'Exhibit F'!R26</f>
        <v>-791.30000000000109</v>
      </c>
      <c r="R29" s="110"/>
      <c r="S29" s="110">
        <f>+'Exhibit F'!T26</f>
        <v>-708.69999999999891</v>
      </c>
      <c r="T29" s="110"/>
      <c r="U29" s="110">
        <f>+'Exhibit F'!V26</f>
        <v>-351</v>
      </c>
      <c r="V29" s="66"/>
      <c r="W29" s="110">
        <f>+'Exhibit F'!X26</f>
        <v>-1484.3999999999996</v>
      </c>
      <c r="X29" s="110"/>
      <c r="Y29" s="110"/>
      <c r="Z29" s="66"/>
      <c r="AA29" s="401"/>
      <c r="AB29" s="199">
        <f t="shared" si="0"/>
        <v>-12926.3</v>
      </c>
      <c r="AC29" s="66"/>
      <c r="AD29" s="879"/>
      <c r="AE29" s="110">
        <f>+'Exhibit F'!AF26</f>
        <v>-13707.2</v>
      </c>
      <c r="AF29" s="1627"/>
      <c r="AG29" s="66"/>
      <c r="AH29" s="274">
        <f>-ROUND(SUM(+AB29-AE29),1)</f>
        <v>-780.9</v>
      </c>
      <c r="AI29" s="67"/>
      <c r="AJ29" s="276">
        <f t="shared" si="1"/>
        <v>-5.7000000000000002E-2</v>
      </c>
    </row>
    <row r="30" spans="1:37" ht="16.5" customHeight="1">
      <c r="A30" s="88" t="s">
        <v>360</v>
      </c>
      <c r="B30" s="294"/>
      <c r="C30" s="1039">
        <f>ROUND(SUM(C26)+SUM(C27)+SUM(C28)+SUM(C29),1)</f>
        <v>7299.4</v>
      </c>
      <c r="D30" s="1"/>
      <c r="E30" s="1039">
        <f>ROUND(SUM(E26)+SUM(E27)+SUM(E28)+SUM(E29),1)</f>
        <v>3853.2</v>
      </c>
      <c r="F30" s="1"/>
      <c r="G30" s="1039">
        <f>ROUND(SUM(G26)+SUM(G27)+SUM(G28)+SUM(G29),1)</f>
        <v>5104.2</v>
      </c>
      <c r="H30" s="66"/>
      <c r="I30" s="1039">
        <f>ROUND(SUM(I26)+SUM(I27)+SUM(I28)+SUM(I29),1)</f>
        <v>4182.5</v>
      </c>
      <c r="J30" s="66"/>
      <c r="K30" s="1039">
        <f>ROUND(SUM(K26)+SUM(K27)+SUM(K28)+SUM(K29),1)</f>
        <v>3511.9</v>
      </c>
      <c r="L30" s="66"/>
      <c r="M30" s="1039">
        <f>ROUND(SUM(M26)+SUM(M27)+SUM(M28)+SUM(M29),1)</f>
        <v>4975.6000000000004</v>
      </c>
      <c r="N30" s="66"/>
      <c r="O30" s="1039">
        <f>ROUND(SUM(O26)+SUM(O27)+SUM(O28)+SUM(O29),1)</f>
        <v>2741.8</v>
      </c>
      <c r="P30" s="66"/>
      <c r="Q30" s="1039">
        <f>ROUND(SUM(Q26)+SUM(Q27)+SUM(Q28)+SUM(Q29),1)</f>
        <v>3660.6</v>
      </c>
      <c r="R30" s="66"/>
      <c r="S30" s="1039">
        <f>ROUND(SUM(S26)+SUM(S27)+SUM(S28)+SUM(S29),1)</f>
        <v>5395.1</v>
      </c>
      <c r="T30" s="66"/>
      <c r="U30" s="1039">
        <f>ROUND(SUM(U26)+SUM(U27)+SUM(U28)+SUM(U29),1)</f>
        <v>9118.4</v>
      </c>
      <c r="V30" s="66"/>
      <c r="W30" s="1039">
        <f>ROUND(SUM(W26)+SUM(W27)+SUM(W28)+SUM(W29),1)</f>
        <v>6228.7</v>
      </c>
      <c r="X30" s="66"/>
      <c r="Y30" s="1039">
        <f>ROUND(SUM(Y26)+SUM(Y27)+SUM(Y28)+SUM(Y29),1)</f>
        <v>0</v>
      </c>
      <c r="Z30" s="66"/>
      <c r="AA30" s="401"/>
      <c r="AB30" s="1040">
        <f>ROUND(SUM(C30:Y30),1)</f>
        <v>56071.4</v>
      </c>
      <c r="AC30" s="66"/>
      <c r="AD30" s="879"/>
      <c r="AE30" s="1039">
        <f>ROUND(SUM(AE26)+SUM(AE27)+SUM(AE28)+SUM(AE29),1)</f>
        <v>49514.8</v>
      </c>
      <c r="AF30" s="1627"/>
      <c r="AG30" s="66"/>
      <c r="AH30" s="687">
        <f>ROUND(SUM(AH26+AH27+AH28-AH29),1)</f>
        <v>6556.6</v>
      </c>
      <c r="AI30" s="274"/>
      <c r="AJ30" s="1009">
        <f t="shared" si="1"/>
        <v>0.13200000000000001</v>
      </c>
      <c r="AK30" s="62" t="s">
        <v>103</v>
      </c>
    </row>
    <row r="31" spans="1:37" ht="16.5" customHeight="1">
      <c r="A31" s="423" t="s">
        <v>361</v>
      </c>
      <c r="B31" s="296"/>
      <c r="C31" s="263"/>
      <c r="D31" s="263"/>
      <c r="E31" s="263"/>
      <c r="F31" s="263"/>
      <c r="G31" s="263"/>
      <c r="H31" s="66"/>
      <c r="I31" s="263"/>
      <c r="J31" s="66"/>
      <c r="K31" s="263"/>
      <c r="L31" s="66"/>
      <c r="M31" s="263"/>
      <c r="N31" s="66"/>
      <c r="O31" s="263"/>
      <c r="P31" s="66"/>
      <c r="Q31" s="263"/>
      <c r="R31" s="66"/>
      <c r="S31" s="263"/>
      <c r="T31" s="66"/>
      <c r="U31" s="263"/>
      <c r="V31" s="66"/>
      <c r="W31" s="263"/>
      <c r="X31" s="66"/>
      <c r="Y31" s="263"/>
      <c r="Z31" s="66"/>
      <c r="AA31" s="401"/>
      <c r="AB31" s="66"/>
      <c r="AC31" s="66"/>
      <c r="AD31" s="879"/>
      <c r="AE31" s="197"/>
      <c r="AF31" s="1627"/>
      <c r="AG31" s="66"/>
      <c r="AH31" s="13"/>
      <c r="AI31" s="274"/>
      <c r="AJ31" s="78"/>
    </row>
    <row r="32" spans="1:37" ht="16.5" customHeight="1">
      <c r="A32" s="294" t="s">
        <v>362</v>
      </c>
      <c r="B32" s="296"/>
      <c r="C32" s="110">
        <f>+'Exhibit F'!D29+'Exhibit G'!D20+'Exhibit H'!B20</f>
        <v>1560.8</v>
      </c>
      <c r="D32" s="110"/>
      <c r="E32" s="110">
        <f>+'Exhibit F'!F29+'Exhibit G'!F20+'Exhibit H'!D20</f>
        <v>1542.9</v>
      </c>
      <c r="F32" s="110"/>
      <c r="G32" s="110">
        <f>+'Exhibit F'!H29+'Exhibit G'!H20+'Exhibit H'!F20</f>
        <v>1972.0000000000002</v>
      </c>
      <c r="H32" s="199"/>
      <c r="I32" s="110">
        <f>+'Exhibit F'!J29+'Exhibit G'!J20+'Exhibit H'!H20</f>
        <v>1591.4999999999998</v>
      </c>
      <c r="J32" s="199"/>
      <c r="K32" s="110">
        <f>+'Exhibit F'!L29+'Exhibit G'!L20+'Exhibit H'!J20</f>
        <v>1602.6000000000004</v>
      </c>
      <c r="L32" s="66"/>
      <c r="M32" s="110">
        <f>+'Exhibit F'!N29+'Exhibit G'!N20+'Exhibit H'!L20</f>
        <v>1971.7999999999993</v>
      </c>
      <c r="N32" s="66"/>
      <c r="O32" s="110">
        <f>+'Exhibit F'!P29+'Exhibit G'!P20+'Exhibit H'!N20</f>
        <v>1601.7000000000003</v>
      </c>
      <c r="P32" s="66"/>
      <c r="Q32" s="110">
        <f>+'Exhibit F'!R29+'Exhibit G'!R20+'Exhibit H'!P20</f>
        <v>1608.7000000000003</v>
      </c>
      <c r="R32" s="110"/>
      <c r="S32" s="110">
        <f>+'Exhibit F'!T29+'Exhibit G'!T20+'Exhibit H'!R20</f>
        <v>1963.4</v>
      </c>
      <c r="T32" s="110"/>
      <c r="U32" s="110">
        <f>+'Exhibit F'!V29+'Exhibit G'!V20+'Exhibit H'!T20</f>
        <v>1747.0999999999997</v>
      </c>
      <c r="V32" s="110"/>
      <c r="W32" s="110">
        <f>+'Exhibit F'!X29+'Exhibit G'!X20+'Exhibit H'!V20</f>
        <v>1469.0999999999997</v>
      </c>
      <c r="X32" s="110"/>
      <c r="Y32" s="110"/>
      <c r="Z32" s="66"/>
      <c r="AA32" s="401"/>
      <c r="AB32" s="199">
        <f t="shared" ref="AB32:AB41" si="2">ROUND(SUM(C32:Y32),1)</f>
        <v>18631.599999999999</v>
      </c>
      <c r="AC32" s="66"/>
      <c r="AD32" s="879"/>
      <c r="AE32" s="110">
        <f>+'Exhibit F'!AF29+'Exhibit G'!AH20+'Exhibit H'!AD20</f>
        <v>18159.2</v>
      </c>
      <c r="AF32" s="1627"/>
      <c r="AG32" s="66"/>
      <c r="AH32" s="274">
        <f t="shared" ref="AH32:AH39" si="3">ROUND(SUM(+AB32-AE32),1)</f>
        <v>472.4</v>
      </c>
      <c r="AI32" s="274"/>
      <c r="AJ32" s="384">
        <f t="shared" ref="AJ32:AJ42" si="4">ROUND(IF(AE32=0,0,AH32/ABS(AE32)),3)</f>
        <v>2.5999999999999999E-2</v>
      </c>
    </row>
    <row r="33" spans="1:38" ht="16.5" customHeight="1">
      <c r="A33" s="294" t="s">
        <v>363</v>
      </c>
      <c r="B33" s="296"/>
      <c r="C33" s="110">
        <f>+'Exhibit F'!D30+'Exhibit G'!D21+'Exhibit I'!E18</f>
        <v>8</v>
      </c>
      <c r="D33" s="110"/>
      <c r="E33" s="110">
        <f>+'Exhibit F'!F30+'Exhibit G'!F21+'Exhibit I'!G18</f>
        <v>0.29999999999999938</v>
      </c>
      <c r="F33" s="110"/>
      <c r="G33" s="110">
        <f>+'Exhibit F'!H30+'Exhibit G'!H21+'Exhibit I'!I18</f>
        <v>30.200000000000003</v>
      </c>
      <c r="H33" s="199"/>
      <c r="I33" s="110">
        <f>+'Exhibit F'!J30+'Exhibit G'!J21+'Exhibit I'!K18</f>
        <v>0.10000000000000142</v>
      </c>
      <c r="J33" s="199"/>
      <c r="K33" s="110">
        <f>+'Exhibit F'!L30+'Exhibit G'!L21+'Exhibit I'!M18</f>
        <v>0</v>
      </c>
      <c r="L33" s="66"/>
      <c r="M33" s="110">
        <f>+'Exhibit F'!N30+'Exhibit G'!N21+'Exhibit I'!O18</f>
        <v>42.7</v>
      </c>
      <c r="N33" s="66"/>
      <c r="O33" s="110">
        <f>+'Exhibit F'!P30+'Exhibit G'!P21+'Exhibit I'!Q18</f>
        <v>0.29999999999999716</v>
      </c>
      <c r="P33" s="66"/>
      <c r="Q33" s="110">
        <f>+'Exhibit F'!R30+'Exhibit G'!R21+'Exhibit I'!S18</f>
        <v>0</v>
      </c>
      <c r="R33" s="110"/>
      <c r="S33" s="110">
        <f>+'Exhibit F'!T30+'Exhibit G'!T21+'Exhibit I'!U18</f>
        <v>36.5</v>
      </c>
      <c r="T33" s="110"/>
      <c r="U33" s="110">
        <f>+'Exhibit F'!V30+'Exhibit G'!V21+'Exhibit I'!W18</f>
        <v>0.20000000000000284</v>
      </c>
      <c r="V33" s="110"/>
      <c r="W33" s="110">
        <f>+'Exhibit F'!X30+'Exhibit G'!X21+'Exhibit I'!Y18</f>
        <v>0.19999999999999218</v>
      </c>
      <c r="X33" s="110"/>
      <c r="Y33" s="110"/>
      <c r="Z33" s="66"/>
      <c r="AA33" s="401"/>
      <c r="AB33" s="199">
        <f>ROUND(SUM(C33:Y33),1)</f>
        <v>118.5</v>
      </c>
      <c r="AC33" s="66"/>
      <c r="AD33" s="879"/>
      <c r="AE33" s="110">
        <f>+'Exhibit F'!AF30+'Exhibit G'!AH21+'Exhibit I'!AI18</f>
        <v>113.1</v>
      </c>
      <c r="AF33" s="1627"/>
      <c r="AG33" s="66"/>
      <c r="AH33" s="274">
        <f t="shared" si="3"/>
        <v>5.4</v>
      </c>
      <c r="AI33" s="274"/>
      <c r="AJ33" s="384">
        <f t="shared" si="4"/>
        <v>4.8000000000000001E-2</v>
      </c>
    </row>
    <row r="34" spans="1:38" ht="16.5" customHeight="1">
      <c r="A34" s="294" t="s">
        <v>364</v>
      </c>
      <c r="B34" s="294"/>
      <c r="C34" s="110">
        <f>+'Exhibit F'!D31+'Exhibit G'!D22</f>
        <v>87.6</v>
      </c>
      <c r="D34" s="110"/>
      <c r="E34" s="110">
        <f>+'Exhibit F'!F31+'Exhibit G'!F22</f>
        <v>69.400000000000006</v>
      </c>
      <c r="F34" s="110"/>
      <c r="G34" s="110">
        <f>+'Exhibit F'!H31+'Exhibit G'!H22</f>
        <v>61.699999999999974</v>
      </c>
      <c r="H34" s="199"/>
      <c r="I34" s="110">
        <f>+'Exhibit F'!J31+'Exhibit G'!J22</f>
        <v>87.700000000000017</v>
      </c>
      <c r="J34" s="199"/>
      <c r="K34" s="110">
        <f>+'Exhibit F'!L31+'Exhibit G'!L22</f>
        <v>73.300000000000011</v>
      </c>
      <c r="L34" s="66"/>
      <c r="M34" s="110">
        <f>+'Exhibit F'!N31+'Exhibit G'!N22</f>
        <v>70.700000000000031</v>
      </c>
      <c r="N34" s="66"/>
      <c r="O34" s="110">
        <f>+'Exhibit F'!P31+'Exhibit G'!P22</f>
        <v>72.499999999999943</v>
      </c>
      <c r="P34" s="66"/>
      <c r="Q34" s="110">
        <f>+'Exhibit F'!R31+'Exhibit G'!R22</f>
        <v>59.099999999999994</v>
      </c>
      <c r="R34" s="110"/>
      <c r="S34" s="110">
        <f>+'Exhibit F'!T31+'Exhibit G'!T22</f>
        <v>65.80000000000004</v>
      </c>
      <c r="T34" s="110"/>
      <c r="U34" s="110">
        <f>+'Exhibit F'!V31+'Exhibit G'!V22</f>
        <v>68.799999999999983</v>
      </c>
      <c r="V34" s="110"/>
      <c r="W34" s="110">
        <f>+'Exhibit F'!X31+'Exhibit G'!X22</f>
        <v>46.399999999999949</v>
      </c>
      <c r="X34" s="110"/>
      <c r="Y34" s="110"/>
      <c r="Z34" s="66"/>
      <c r="AA34" s="401"/>
      <c r="AB34" s="199">
        <f t="shared" si="2"/>
        <v>763</v>
      </c>
      <c r="AC34" s="66"/>
      <c r="AD34" s="879"/>
      <c r="AE34" s="110">
        <f>+'Exhibit F'!AF31+'Exhibit G'!AH22</f>
        <v>801.40000000000009</v>
      </c>
      <c r="AF34" s="1627"/>
      <c r="AG34" s="66"/>
      <c r="AH34" s="274">
        <f t="shared" si="3"/>
        <v>-38.4</v>
      </c>
      <c r="AI34" s="274"/>
      <c r="AJ34" s="384">
        <f t="shared" si="4"/>
        <v>-4.8000000000000001E-2</v>
      </c>
    </row>
    <row r="35" spans="1:38" ht="16.5" customHeight="1">
      <c r="A35" s="294" t="s">
        <v>365</v>
      </c>
      <c r="B35" s="294"/>
      <c r="C35" s="110">
        <f>+'Exhibit G'!D23</f>
        <v>2.7</v>
      </c>
      <c r="D35" s="110"/>
      <c r="E35" s="110">
        <f>+'Exhibit G'!F23</f>
        <v>1.4999999999999991</v>
      </c>
      <c r="F35" s="110"/>
      <c r="G35" s="110">
        <f>+'Exhibit G'!H23</f>
        <v>18.900000000000002</v>
      </c>
      <c r="H35" s="199"/>
      <c r="I35" s="110">
        <f>+'Exhibit G'!J23</f>
        <v>0.59999999999999787</v>
      </c>
      <c r="J35" s="199"/>
      <c r="K35" s="110">
        <f>+'Exhibit G'!L23</f>
        <v>1.3000000000000007</v>
      </c>
      <c r="L35" s="66"/>
      <c r="M35" s="110">
        <f>+'Exhibit G'!N23</f>
        <v>25.799999999999994</v>
      </c>
      <c r="N35" s="66"/>
      <c r="O35" s="110">
        <f>+'Exhibit G'!P23</f>
        <v>2.1000000000000014</v>
      </c>
      <c r="P35" s="66"/>
      <c r="Q35" s="110">
        <f>+'Exhibit G'!R23</f>
        <v>1.2000000000000028</v>
      </c>
      <c r="R35" s="110"/>
      <c r="S35" s="110">
        <f>+'Exhibit G'!T23</f>
        <v>31.800000000000004</v>
      </c>
      <c r="T35" s="110"/>
      <c r="U35" s="110">
        <f>+'Exhibit G'!V23</f>
        <v>2.1999999999999886</v>
      </c>
      <c r="V35" s="110"/>
      <c r="W35" s="110">
        <f>+'Exhibit G'!X23</f>
        <v>1.7000000000000028</v>
      </c>
      <c r="X35" s="110"/>
      <c r="Y35" s="110"/>
      <c r="Z35" s="66"/>
      <c r="AA35" s="401"/>
      <c r="AB35" s="199">
        <f>ROUND(SUM(C35:Y35),1)</f>
        <v>89.8</v>
      </c>
      <c r="AC35" s="66"/>
      <c r="AD35" s="879"/>
      <c r="AE35" s="110">
        <f>'Exhibit G'!AH23</f>
        <v>28.599999999999998</v>
      </c>
      <c r="AF35" s="1627"/>
      <c r="AG35" s="66"/>
      <c r="AH35" s="274">
        <f>ROUND(SUM(+AB35-AE35),1)</f>
        <v>61.2</v>
      </c>
      <c r="AI35" s="274"/>
      <c r="AJ35" s="384">
        <f>ROUND(IF(AE35=0,0,AH35/ABS(AE35)),3)</f>
        <v>2.14</v>
      </c>
    </row>
    <row r="36" spans="1:38" ht="16.5" customHeight="1">
      <c r="A36" s="294" t="s">
        <v>366</v>
      </c>
      <c r="B36" s="294"/>
      <c r="C36" s="110">
        <f>+'Exhibit F'!D32+'Exhibit G'!D24+'Exhibit I'!E19</f>
        <v>37.5</v>
      </c>
      <c r="D36" s="110"/>
      <c r="E36" s="110">
        <f>+'Exhibit F'!F32+'Exhibit G'!F24+'Exhibit I'!G19</f>
        <v>37.299999999999997</v>
      </c>
      <c r="F36" s="110"/>
      <c r="G36" s="110">
        <f>+'Exhibit F'!H32+'Exhibit G'!H24+'Exhibit I'!I19</f>
        <v>44.900000000000006</v>
      </c>
      <c r="H36" s="199"/>
      <c r="I36" s="110">
        <f>+'Exhibit F'!J32+'Exhibit G'!J24+'Exhibit I'!K19</f>
        <v>41.7</v>
      </c>
      <c r="J36" s="199"/>
      <c r="K36" s="110">
        <f>+'Exhibit F'!L32+'Exhibit G'!L24+'Exhibit I'!M19</f>
        <v>45.7</v>
      </c>
      <c r="L36" s="66"/>
      <c r="M36" s="110">
        <f>+'Exhibit F'!N32+'Exhibit G'!N24+'Exhibit I'!O19</f>
        <v>42.7</v>
      </c>
      <c r="N36" s="66"/>
      <c r="O36" s="110">
        <f>+'Exhibit F'!P32+'Exhibit G'!P24+'Exhibit I'!Q19</f>
        <v>40.899999999999984</v>
      </c>
      <c r="P36" s="66"/>
      <c r="Q36" s="110">
        <f>+'Exhibit F'!R32+'Exhibit G'!R24+'Exhibit I'!S19</f>
        <v>43.000000000000021</v>
      </c>
      <c r="R36" s="110"/>
      <c r="S36" s="110">
        <f>+'Exhibit F'!T32+'Exhibit G'!T24+'Exhibit I'!U19</f>
        <v>38.400000000000006</v>
      </c>
      <c r="T36" s="110"/>
      <c r="U36" s="110">
        <f>+'Exhibit F'!V32+'Exhibit G'!V24+'Exhibit I'!W19</f>
        <v>36.59999999999998</v>
      </c>
      <c r="V36" s="110"/>
      <c r="W36" s="110">
        <f>+'Exhibit F'!X32+'Exhibit G'!X24+'Exhibit I'!Y19</f>
        <v>39.699999999999989</v>
      </c>
      <c r="X36" s="110"/>
      <c r="Y36" s="110"/>
      <c r="Z36" s="66"/>
      <c r="AA36" s="401"/>
      <c r="AB36" s="199">
        <f t="shared" si="2"/>
        <v>448.4</v>
      </c>
      <c r="AC36" s="66"/>
      <c r="AD36" s="879"/>
      <c r="AE36" s="110">
        <f>+'Exhibit F'!AF32+'Exhibit G'!AH24+'Exhibit I'!AI19</f>
        <v>449.6</v>
      </c>
      <c r="AF36" s="1627"/>
      <c r="AG36" s="66"/>
      <c r="AH36" s="274">
        <f t="shared" si="3"/>
        <v>-1.2</v>
      </c>
      <c r="AI36" s="274"/>
      <c r="AJ36" s="384">
        <f t="shared" si="4"/>
        <v>-3.0000000000000001E-3</v>
      </c>
    </row>
    <row r="37" spans="1:38" ht="16.5" customHeight="1">
      <c r="A37" s="432" t="s">
        <v>367</v>
      </c>
      <c r="B37" s="294"/>
      <c r="C37" s="110">
        <f>+'Exhibit F'!D33+'Exhibit G'!D25</f>
        <v>0</v>
      </c>
      <c r="D37" s="110"/>
      <c r="E37" s="110">
        <f>+'Exhibit F'!F33+'Exhibit G'!F25</f>
        <v>0</v>
      </c>
      <c r="F37" s="110"/>
      <c r="G37" s="110">
        <f>+'Exhibit F'!H33+'Exhibit G'!H25</f>
        <v>0.5</v>
      </c>
      <c r="H37" s="199"/>
      <c r="I37" s="110">
        <f>+'Exhibit F'!J33+'Exhibit G'!J25</f>
        <v>0</v>
      </c>
      <c r="J37" s="199"/>
      <c r="K37" s="110">
        <f>+'Exhibit F'!L33+'Exhibit G'!L25</f>
        <v>0</v>
      </c>
      <c r="L37" s="66"/>
      <c r="M37" s="110">
        <f>+'Exhibit F'!N33+'Exhibit G'!N25</f>
        <v>0.6</v>
      </c>
      <c r="N37" s="66"/>
      <c r="O37" s="110">
        <f>+'Exhibit F'!P33+'Exhibit G'!P25</f>
        <v>0</v>
      </c>
      <c r="P37" s="66"/>
      <c r="Q37" s="110">
        <f>+'Exhibit F'!R33+'Exhibit G'!R25</f>
        <v>9.9999999999999978E-2</v>
      </c>
      <c r="R37" s="110"/>
      <c r="S37" s="110">
        <f>+'Exhibit F'!T33+'Exhibit G'!T25</f>
        <v>0.30000000000000004</v>
      </c>
      <c r="T37" s="110"/>
      <c r="U37" s="110">
        <f>+'Exhibit F'!V33+'Exhibit G'!V25</f>
        <v>0</v>
      </c>
      <c r="V37" s="110"/>
      <c r="W37" s="110">
        <f>+'Exhibit F'!X33+'Exhibit G'!X25</f>
        <v>0</v>
      </c>
      <c r="X37" s="110"/>
      <c r="Y37" s="110"/>
      <c r="Z37" s="66"/>
      <c r="AA37" s="401"/>
      <c r="AB37" s="199">
        <f t="shared" ref="AB37" si="5">ROUND(SUM(C37:Y37),1)</f>
        <v>1.5</v>
      </c>
      <c r="AC37" s="66"/>
      <c r="AD37" s="879"/>
      <c r="AE37" s="110">
        <f>+'Exhibit F'!AF33+'Exhibit G'!AH25</f>
        <v>0.30000000000000004</v>
      </c>
      <c r="AF37" s="1627"/>
      <c r="AG37" s="66"/>
      <c r="AH37" s="274">
        <f t="shared" si="3"/>
        <v>1.2</v>
      </c>
      <c r="AI37" s="274"/>
      <c r="AJ37" s="553">
        <f>ROUND(IF(AE37=0,1,AH37/ABS(AE37)),3)</f>
        <v>4</v>
      </c>
    </row>
    <row r="38" spans="1:38" ht="16.5" customHeight="1">
      <c r="A38" s="294" t="s">
        <v>368</v>
      </c>
      <c r="B38" s="294"/>
      <c r="C38" s="110">
        <f>+'Exhibit F'!D34+'Exhibit G'!D26</f>
        <v>19.100000000000001</v>
      </c>
      <c r="D38" s="110"/>
      <c r="E38" s="110">
        <f>+'Exhibit F'!F34+'Exhibit G'!F26</f>
        <v>21.699999999999996</v>
      </c>
      <c r="F38" s="110"/>
      <c r="G38" s="110">
        <f>+'Exhibit F'!H34+'Exhibit G'!H26</f>
        <v>24.5</v>
      </c>
      <c r="H38" s="199"/>
      <c r="I38" s="110">
        <f>+'Exhibit F'!J34+'Exhibit G'!J26</f>
        <v>25.999999999999993</v>
      </c>
      <c r="J38" s="199"/>
      <c r="K38" s="110">
        <f>+'Exhibit F'!L34+'Exhibit G'!L26</f>
        <v>23.800000000000018</v>
      </c>
      <c r="L38" s="66"/>
      <c r="M38" s="110">
        <f>+'Exhibit F'!N34+'Exhibit G'!N26</f>
        <v>24.599999999999994</v>
      </c>
      <c r="N38" s="66"/>
      <c r="O38" s="110">
        <f>+'Exhibit F'!P34+'Exhibit G'!P26</f>
        <v>20.5</v>
      </c>
      <c r="P38" s="66"/>
      <c r="Q38" s="110">
        <f>+'Exhibit F'!R34+'Exhibit G'!R26</f>
        <v>24.400000000000006</v>
      </c>
      <c r="R38" s="110"/>
      <c r="S38" s="110">
        <f>+'Exhibit F'!T34+'Exhibit G'!T26</f>
        <v>21.400000000000006</v>
      </c>
      <c r="T38" s="110"/>
      <c r="U38" s="110">
        <f>+'Exhibit F'!V34+'Exhibit G'!V26</f>
        <v>30.400000000000006</v>
      </c>
      <c r="V38" s="110"/>
      <c r="W38" s="110">
        <f>+'Exhibit F'!X34+'Exhibit G'!X26</f>
        <v>15.5</v>
      </c>
      <c r="X38" s="110"/>
      <c r="Y38" s="110"/>
      <c r="Z38" s="66"/>
      <c r="AA38" s="401"/>
      <c r="AB38" s="199">
        <f t="shared" si="2"/>
        <v>251.9</v>
      </c>
      <c r="AC38" s="66"/>
      <c r="AD38" s="879"/>
      <c r="AE38" s="110">
        <f>+'Exhibit F'!AF34+'Exhibit G'!AH26</f>
        <v>254.70000000000002</v>
      </c>
      <c r="AF38" s="1627"/>
      <c r="AG38" s="66"/>
      <c r="AH38" s="274">
        <f t="shared" si="3"/>
        <v>-2.8</v>
      </c>
      <c r="AI38" s="274"/>
      <c r="AJ38" s="384">
        <f t="shared" si="4"/>
        <v>-1.0999999999999999E-2</v>
      </c>
    </row>
    <row r="39" spans="1:38" ht="16.5" customHeight="1">
      <c r="A39" s="294" t="s">
        <v>369</v>
      </c>
      <c r="B39" s="294"/>
      <c r="C39" s="110">
        <f>+'Exhibit F'!D35+'Exhibit G'!D27+'Exhibit I'!E20</f>
        <v>13.5</v>
      </c>
      <c r="D39" s="110"/>
      <c r="E39" s="110">
        <f>+'Exhibit F'!F35+'Exhibit G'!F27+'Exhibit I'!G20</f>
        <v>11.399999999999997</v>
      </c>
      <c r="F39" s="110"/>
      <c r="G39" s="110">
        <f>+'Exhibit F'!H35+'Exhibit G'!H27+'Exhibit I'!I20</f>
        <v>8</v>
      </c>
      <c r="H39" s="199"/>
      <c r="I39" s="110">
        <f>+'Exhibit F'!J35+'Exhibit G'!J27+'Exhibit I'!K20</f>
        <v>13.800000000000002</v>
      </c>
      <c r="J39" s="199"/>
      <c r="K39" s="110">
        <f>+'Exhibit F'!L35+'Exhibit G'!L27+'Exhibit I'!M20</f>
        <v>9.5</v>
      </c>
      <c r="L39" s="66"/>
      <c r="M39" s="110">
        <f>+'Exhibit F'!N35+'Exhibit G'!N27+'Exhibit I'!O20</f>
        <v>9.8999999999999968</v>
      </c>
      <c r="N39" s="66"/>
      <c r="O39" s="110">
        <f>+'Exhibit F'!P35+'Exhibit G'!P27+'Exhibit I'!Q20</f>
        <v>12.7</v>
      </c>
      <c r="P39" s="66"/>
      <c r="Q39" s="110">
        <f>+'Exhibit F'!R35+'Exhibit G'!R27+'Exhibit I'!S20</f>
        <v>9.6999999999999993</v>
      </c>
      <c r="R39" s="110"/>
      <c r="S39" s="110">
        <f>+'Exhibit F'!T35+'Exhibit G'!T27+'Exhibit I'!U20</f>
        <v>10.300000000000006</v>
      </c>
      <c r="T39" s="110"/>
      <c r="U39" s="110">
        <f>+'Exhibit F'!V35+'Exhibit G'!V27+'Exhibit I'!W20</f>
        <v>19.2</v>
      </c>
      <c r="V39" s="110"/>
      <c r="W39" s="110">
        <f>+'Exhibit F'!X35+'Exhibit G'!X27+'Exhibit I'!Y20</f>
        <v>12.599999999999985</v>
      </c>
      <c r="X39" s="110"/>
      <c r="Y39" s="110"/>
      <c r="Z39" s="66"/>
      <c r="AA39" s="401"/>
      <c r="AB39" s="199">
        <f t="shared" si="2"/>
        <v>130.6</v>
      </c>
      <c r="AC39" s="66"/>
      <c r="AD39" s="879"/>
      <c r="AE39" s="110">
        <f>+'Exhibit F'!AF35+'Exhibit G'!AH27+'Exhibit I'!AI20</f>
        <v>131.69999999999999</v>
      </c>
      <c r="AF39" s="1627"/>
      <c r="AG39" s="66"/>
      <c r="AH39" s="274">
        <f t="shared" si="3"/>
        <v>-1.1000000000000001</v>
      </c>
      <c r="AI39" s="274"/>
      <c r="AJ39" s="880">
        <f t="shared" si="4"/>
        <v>-8.0000000000000002E-3</v>
      </c>
    </row>
    <row r="40" spans="1:38" ht="16.5" customHeight="1">
      <c r="A40" s="294" t="s">
        <v>370</v>
      </c>
      <c r="B40" s="294"/>
      <c r="C40" s="110">
        <f>'Exhibit F'!D36+'Exhibit G'!D28</f>
        <v>-0.1</v>
      </c>
      <c r="D40" s="110"/>
      <c r="E40" s="110">
        <f>'Exhibit F'!F36+'Exhibit G'!F28</f>
        <v>0.6</v>
      </c>
      <c r="F40" s="110"/>
      <c r="G40" s="110">
        <f>'Exhibit F'!H36+'Exhibit G'!H28</f>
        <v>4.5999999999999996</v>
      </c>
      <c r="H40" s="199"/>
      <c r="I40" s="110">
        <f>'Exhibit F'!J36+'Exhibit G'!J28</f>
        <v>0.10000000000000053</v>
      </c>
      <c r="J40" s="199"/>
      <c r="K40" s="110">
        <f>'Exhibit F'!L36+'Exhibit G'!L28</f>
        <v>0.70000000000000018</v>
      </c>
      <c r="L40" s="66"/>
      <c r="M40" s="110">
        <f>'Exhibit F'!N36+'Exhibit G'!N28</f>
        <v>5.2999999999999989</v>
      </c>
      <c r="N40" s="66"/>
      <c r="O40" s="110">
        <f>'Exhibit F'!P36+'Exhibit G'!P28</f>
        <v>-0.39999999999999858</v>
      </c>
      <c r="P40" s="66"/>
      <c r="Q40" s="110">
        <f>'Exhibit F'!R36+'Exhibit G'!R28</f>
        <v>9.9999999999999645E-2</v>
      </c>
      <c r="R40" s="110"/>
      <c r="S40" s="110">
        <f>'Exhibit F'!T36+'Exhibit G'!T28</f>
        <v>4.9000000000000004</v>
      </c>
      <c r="T40" s="110"/>
      <c r="U40" s="110">
        <f>'Exhibit F'!V36+'Exhibit G'!V28</f>
        <v>9.9999999999999645E-2</v>
      </c>
      <c r="V40" s="110"/>
      <c r="W40" s="110">
        <f>'Exhibit F'!X36+'Exhibit G'!X28</f>
        <v>0.70000000000000107</v>
      </c>
      <c r="X40" s="110"/>
      <c r="Y40" s="110"/>
      <c r="Z40" s="66"/>
      <c r="AA40" s="401"/>
      <c r="AB40" s="199">
        <f>ROUND(SUM(C40:Y40),1)</f>
        <v>16.600000000000001</v>
      </c>
      <c r="AC40" s="66"/>
      <c r="AD40" s="879"/>
      <c r="AE40" s="110">
        <f>+'Exhibit F'!AF36+'Exhibit G'!AH28</f>
        <v>19</v>
      </c>
      <c r="AF40" s="1627"/>
      <c r="AG40" s="66"/>
      <c r="AH40" s="274">
        <f>ROUND(SUM(+AB40-AE40),1)</f>
        <v>-2.4</v>
      </c>
      <c r="AI40" s="274"/>
      <c r="AJ40" s="880">
        <f>ROUND(IF(AE40=0,1,AH40/ABS(AE40)),3)</f>
        <v>-0.126</v>
      </c>
    </row>
    <row r="41" spans="1:38" ht="16.5" customHeight="1">
      <c r="A41" s="294" t="s">
        <v>371</v>
      </c>
      <c r="B41" s="294"/>
      <c r="C41" s="110">
        <f>'Exhibit F'!D37</f>
        <v>5.3000000000000007</v>
      </c>
      <c r="D41" s="110"/>
      <c r="E41" s="110">
        <f>'Exhibit F'!F37</f>
        <v>0.19999999999999929</v>
      </c>
      <c r="F41" s="110"/>
      <c r="G41" s="110">
        <f>'Exhibit F'!H37</f>
        <v>0</v>
      </c>
      <c r="H41" s="199"/>
      <c r="I41" s="110">
        <f>'Exhibit F'!J37</f>
        <v>5</v>
      </c>
      <c r="J41" s="199"/>
      <c r="K41" s="110">
        <f>'Exhibit F'!L37</f>
        <v>0</v>
      </c>
      <c r="L41" s="66"/>
      <c r="M41" s="110">
        <f>'Exhibit F'!N37</f>
        <v>9.9999999999999645E-2</v>
      </c>
      <c r="N41" s="66"/>
      <c r="O41" s="110">
        <f>'Exhibit F'!P37</f>
        <v>4.5</v>
      </c>
      <c r="P41" s="66"/>
      <c r="Q41" s="110">
        <f>'Exhibit F'!R37</f>
        <v>0.5</v>
      </c>
      <c r="R41" s="110"/>
      <c r="S41" s="110">
        <f>'Exhibit F'!T37</f>
        <v>0</v>
      </c>
      <c r="T41" s="110"/>
      <c r="U41" s="110">
        <f>'Exhibit F'!V37</f>
        <v>4.7000000000000011</v>
      </c>
      <c r="V41" s="110"/>
      <c r="W41" s="110">
        <f>'Exhibit F'!X37</f>
        <v>0.19999999999999929</v>
      </c>
      <c r="X41" s="110"/>
      <c r="Y41" s="110"/>
      <c r="Z41" s="66"/>
      <c r="AA41" s="198"/>
      <c r="AB41" s="199">
        <f t="shared" si="2"/>
        <v>20.5</v>
      </c>
      <c r="AC41" s="66"/>
      <c r="AD41" s="879"/>
      <c r="AE41" s="110">
        <f>+'Exhibit F'!AF37</f>
        <v>22</v>
      </c>
      <c r="AF41" s="1627"/>
      <c r="AG41" s="66"/>
      <c r="AH41" s="274">
        <f t="shared" ref="AH41" si="6">ROUND(SUM(+AB41-AE41),1)</f>
        <v>-1.5</v>
      </c>
      <c r="AI41" s="274"/>
      <c r="AJ41" s="880">
        <f>ROUND(IF(AE41=0,1,AH41/ABS(AE41)),3)</f>
        <v>-6.8000000000000005E-2</v>
      </c>
    </row>
    <row r="42" spans="1:38" ht="16.5" customHeight="1">
      <c r="A42" s="88" t="s">
        <v>372</v>
      </c>
      <c r="B42" s="294"/>
      <c r="C42" s="1039">
        <f>ROUND(SUM(C32:C41),1)</f>
        <v>1734.4</v>
      </c>
      <c r="D42" s="1"/>
      <c r="E42" s="1039">
        <f>ROUND(SUM(E32:E41),1)</f>
        <v>1685.3</v>
      </c>
      <c r="F42" s="1"/>
      <c r="G42" s="1039">
        <f>ROUND(SUM(G32:G41),1)</f>
        <v>2165.3000000000002</v>
      </c>
      <c r="H42" s="66"/>
      <c r="I42" s="1039">
        <f>ROUND(SUM(I32:I41),1)</f>
        <v>1766.5</v>
      </c>
      <c r="J42" s="66"/>
      <c r="K42" s="1039">
        <f>ROUND(SUM(K32:K41),1)</f>
        <v>1756.9</v>
      </c>
      <c r="L42" s="66"/>
      <c r="M42" s="1039">
        <f>ROUND(SUM(M32:M41),1)</f>
        <v>2194.1999999999998</v>
      </c>
      <c r="N42" s="66"/>
      <c r="O42" s="1039">
        <f>ROUND(SUM(O32:O41),1)</f>
        <v>1754.8</v>
      </c>
      <c r="P42" s="66"/>
      <c r="Q42" s="1039">
        <f>ROUND(SUM(Q32:Q41),1)</f>
        <v>1746.8</v>
      </c>
      <c r="R42" s="66"/>
      <c r="S42" s="1039">
        <f>ROUND(SUM(S32:S41),1)</f>
        <v>2172.8000000000002</v>
      </c>
      <c r="T42" s="66"/>
      <c r="U42" s="1039">
        <f>ROUND(SUM(U32:U41),1)</f>
        <v>1909.3</v>
      </c>
      <c r="V42" s="66"/>
      <c r="W42" s="1039">
        <f>ROUND(SUM(W32:W41),1)</f>
        <v>1586.1</v>
      </c>
      <c r="X42" s="66"/>
      <c r="Y42" s="1039">
        <f>ROUND(SUM(Y32:Y41),1)</f>
        <v>0</v>
      </c>
      <c r="Z42" s="66"/>
      <c r="AA42" s="401"/>
      <c r="AB42" s="1039">
        <f>ROUND(SUM(AB32:AB41),1)</f>
        <v>20472.400000000001</v>
      </c>
      <c r="AC42" s="66"/>
      <c r="AD42" s="879"/>
      <c r="AE42" s="1039">
        <f>ROUND(SUM(AE32:AE41),1)</f>
        <v>19979.599999999999</v>
      </c>
      <c r="AF42" s="1627"/>
      <c r="AG42" s="66"/>
      <c r="AH42" s="687">
        <f>ROUND(SUM(AH32:AH41),1)</f>
        <v>492.8</v>
      </c>
      <c r="AI42" s="13"/>
      <c r="AJ42" s="1041">
        <f t="shared" si="4"/>
        <v>2.5000000000000001E-2</v>
      </c>
    </row>
    <row r="43" spans="1:38" ht="16.5" customHeight="1">
      <c r="A43" s="423" t="s">
        <v>373</v>
      </c>
      <c r="B43" s="294"/>
      <c r="C43" s="263"/>
      <c r="D43" s="263"/>
      <c r="E43" s="263"/>
      <c r="F43" s="263"/>
      <c r="G43" s="263"/>
      <c r="H43" s="66"/>
      <c r="I43" s="263"/>
      <c r="J43" s="66"/>
      <c r="K43" s="263"/>
      <c r="L43" s="66"/>
      <c r="M43" s="263"/>
      <c r="N43" s="66"/>
      <c r="O43" s="263"/>
      <c r="P43" s="66"/>
      <c r="Q43" s="263"/>
      <c r="R43" s="66"/>
      <c r="S43" s="263"/>
      <c r="T43" s="66"/>
      <c r="U43" s="263"/>
      <c r="V43" s="66"/>
      <c r="W43" s="263"/>
      <c r="X43" s="66"/>
      <c r="Y43" s="263"/>
      <c r="Z43" s="66"/>
      <c r="AA43" s="401"/>
      <c r="AB43" s="66"/>
      <c r="AC43" s="66"/>
      <c r="AD43" s="879"/>
      <c r="AE43" s="197"/>
      <c r="AF43" s="1627"/>
      <c r="AG43" s="66"/>
      <c r="AH43" s="13"/>
      <c r="AI43" s="13"/>
      <c r="AJ43" s="78"/>
    </row>
    <row r="44" spans="1:38" ht="16.5" customHeight="1">
      <c r="A44" s="294" t="s">
        <v>374</v>
      </c>
      <c r="B44" s="294"/>
      <c r="C44" s="110">
        <f>+'Exhibit F'!D40+'Exhibit G'!D31+'Exhibit I'!E23</f>
        <v>1306.7</v>
      </c>
      <c r="D44" s="110"/>
      <c r="E44" s="110">
        <f>+'Exhibit F'!F40+'Exhibit G'!F31+'Exhibit I'!G23</f>
        <v>180.29999999999995</v>
      </c>
      <c r="F44" s="110"/>
      <c r="G44" s="110">
        <f>+'Exhibit F'!H40+'Exhibit G'!H31+'Exhibit I'!I23</f>
        <v>1484.3000000000002</v>
      </c>
      <c r="H44" s="199"/>
      <c r="I44" s="110">
        <f>+'Exhibit F'!J40+'Exhibit G'!J31+'Exhibit I'!K23</f>
        <v>64.499999999999659</v>
      </c>
      <c r="J44" s="199"/>
      <c r="K44" s="110">
        <f>+'Exhibit F'!L40+'Exhibit G'!L31+'Exhibit I'!M23</f>
        <v>13.5</v>
      </c>
      <c r="L44" s="66"/>
      <c r="M44" s="110">
        <f>+'Exhibit F'!N40+'Exhibit G'!N31+'Exhibit I'!O23</f>
        <v>1544.4000000000003</v>
      </c>
      <c r="N44" s="66"/>
      <c r="O44" s="110">
        <f>+'Exhibit F'!P40+'Exhibit G'!P31+'Exhibit I'!Q23</f>
        <v>91.699999999999591</v>
      </c>
      <c r="P44" s="66"/>
      <c r="Q44" s="110">
        <f>+'Exhibit F'!R40+'Exhibit G'!R31+'Exhibit I'!S23</f>
        <v>-8.5999999999999091</v>
      </c>
      <c r="R44" s="110"/>
      <c r="S44" s="110">
        <f>+'Exhibit F'!T40+'Exhibit G'!T31+'Exhibit I'!U23</f>
        <v>1599.9999999999995</v>
      </c>
      <c r="T44" s="110"/>
      <c r="U44" s="110">
        <f>+'Exhibit F'!V40+'Exhibit G'!V31+'Exhibit I'!W23</f>
        <v>154.60000000000014</v>
      </c>
      <c r="V44" s="110"/>
      <c r="W44" s="110">
        <f>+'Exhibit F'!X40+'Exhibit G'!X31+'Exhibit I'!Y23</f>
        <v>-30.100000000000136</v>
      </c>
      <c r="X44" s="110"/>
      <c r="Y44" s="110"/>
      <c r="Z44" s="66"/>
      <c r="AA44" s="401"/>
      <c r="AB44" s="199">
        <f t="shared" ref="AB44:AB49" si="7">ROUND(SUM(C44:Y44),1)</f>
        <v>6401.3</v>
      </c>
      <c r="AC44" s="66"/>
      <c r="AD44" s="879"/>
      <c r="AE44" s="110">
        <f>+'Exhibit F'!AF40+'Exhibit G'!AH31+'Exhibit I'!AI23</f>
        <v>7057</v>
      </c>
      <c r="AF44" s="1627"/>
      <c r="AG44" s="66"/>
      <c r="AH44" s="274">
        <f t="shared" ref="AH44:AH49" si="8">ROUND(SUM(+AB44-AE44),1)</f>
        <v>-655.7</v>
      </c>
      <c r="AI44" s="13"/>
      <c r="AJ44" s="384">
        <f t="shared" ref="AJ44:AJ50" si="9">ROUND(IF(AE44=0,0,AH44/ABS(AE44)),3)</f>
        <v>-9.2999999999999999E-2</v>
      </c>
    </row>
    <row r="45" spans="1:38" ht="16.5" customHeight="1">
      <c r="A45" s="294" t="s">
        <v>375</v>
      </c>
      <c r="B45" s="294"/>
      <c r="C45" s="110">
        <f>+'Exhibit F'!D41+'Exhibit G'!D32+'Exhibit I'!E24</f>
        <v>30</v>
      </c>
      <c r="D45" s="110"/>
      <c r="E45" s="110">
        <f>+'Exhibit F'!F41+'Exhibit G'!F32+'Exhibit I'!G24</f>
        <v>8.8999999999999986</v>
      </c>
      <c r="F45" s="110"/>
      <c r="G45" s="110">
        <f>+'Exhibit F'!H41+'Exhibit G'!H32+'Exhibit I'!I24</f>
        <v>83.899999999999991</v>
      </c>
      <c r="H45" s="199"/>
      <c r="I45" s="110">
        <f>+'Exhibit F'!J41+'Exhibit G'!J32+'Exhibit I'!K24</f>
        <v>1.7000000000000099</v>
      </c>
      <c r="J45" s="199"/>
      <c r="K45" s="110">
        <f>+'Exhibit F'!L41+'Exhibit G'!L32+'Exhibit I'!M24</f>
        <v>-7.7000000000000011</v>
      </c>
      <c r="L45" s="66"/>
      <c r="M45" s="110">
        <f>+'Exhibit F'!N41+'Exhibit G'!N32+'Exhibit I'!O24</f>
        <v>119</v>
      </c>
      <c r="N45" s="66"/>
      <c r="O45" s="110">
        <f>+'Exhibit F'!P41+'Exhibit G'!P32+'Exhibit I'!Q24</f>
        <v>-0.99999999999999467</v>
      </c>
      <c r="P45" s="66"/>
      <c r="Q45" s="110">
        <f>+'Exhibit F'!R41+'Exhibit G'!R32+'Exhibit I'!S24</f>
        <v>0.9000000000000199</v>
      </c>
      <c r="R45" s="110"/>
      <c r="S45" s="110">
        <f>+'Exhibit F'!T41+'Exhibit G'!T32+'Exhibit I'!U24</f>
        <v>87.499999999999986</v>
      </c>
      <c r="T45" s="110"/>
      <c r="U45" s="110">
        <f>+'Exhibit F'!V41+'Exhibit G'!V32+'Exhibit I'!W24</f>
        <v>1.2999999999999883</v>
      </c>
      <c r="V45" s="110"/>
      <c r="W45" s="110">
        <f>+'Exhibit F'!X41+'Exhibit G'!X32+'Exhibit I'!Y24</f>
        <v>4.5000000000000062</v>
      </c>
      <c r="X45" s="110"/>
      <c r="Y45" s="110"/>
      <c r="Z45" s="66"/>
      <c r="AA45" s="401"/>
      <c r="AB45" s="199">
        <f t="shared" si="7"/>
        <v>329</v>
      </c>
      <c r="AC45" s="66"/>
      <c r="AD45" s="879"/>
      <c r="AE45" s="110">
        <f>+'Exhibit F'!AF41+'Exhibit G'!AH32+'Exhibit I'!AI24</f>
        <v>369.6</v>
      </c>
      <c r="AF45" s="1627"/>
      <c r="AG45" s="66"/>
      <c r="AH45" s="274">
        <f t="shared" si="8"/>
        <v>-40.6</v>
      </c>
      <c r="AI45" s="13"/>
      <c r="AJ45" s="880">
        <f t="shared" si="9"/>
        <v>-0.11</v>
      </c>
    </row>
    <row r="46" spans="1:38" ht="16.5" customHeight="1">
      <c r="A46" s="294" t="s">
        <v>376</v>
      </c>
      <c r="B46" s="294"/>
      <c r="C46" s="110">
        <f>+'Exhibit F'!D42+'Exhibit G'!D33</f>
        <v>143</v>
      </c>
      <c r="D46" s="110"/>
      <c r="E46" s="110">
        <f>+'Exhibit F'!F42+'Exhibit G'!F33</f>
        <v>10.699999999999985</v>
      </c>
      <c r="F46" s="110"/>
      <c r="G46" s="110">
        <f>+'Exhibit F'!H42+'Exhibit G'!H33</f>
        <v>541.20000000000005</v>
      </c>
      <c r="H46" s="199"/>
      <c r="I46" s="110">
        <f>+'Exhibit F'!J42+'Exhibit G'!J33</f>
        <v>8.5000000000000711</v>
      </c>
      <c r="J46" s="199"/>
      <c r="K46" s="110">
        <f>+'Exhibit F'!L42+'Exhibit G'!L33</f>
        <v>20.699999999999875</v>
      </c>
      <c r="L46" s="66"/>
      <c r="M46" s="110">
        <f>+'Exhibit F'!N42+'Exhibit G'!N33</f>
        <v>530.40000000000009</v>
      </c>
      <c r="N46" s="66"/>
      <c r="O46" s="110">
        <f>+'Exhibit F'!P42+'Exhibit G'!P33</f>
        <v>5.0000000000002274</v>
      </c>
      <c r="P46" s="66"/>
      <c r="Q46" s="110">
        <f>+'Exhibit F'!R42+'Exhibit G'!R33</f>
        <v>7.9000000000000341</v>
      </c>
      <c r="R46" s="110"/>
      <c r="S46" s="110">
        <f>+'Exhibit F'!T42+'Exhibit G'!T33</f>
        <v>515.09999999999991</v>
      </c>
      <c r="T46" s="110"/>
      <c r="U46" s="110">
        <f>+'Exhibit F'!V42+'Exhibit G'!V33</f>
        <v>9.3999999999999488</v>
      </c>
      <c r="V46" s="110"/>
      <c r="W46" s="110">
        <f>+'Exhibit F'!X42+'Exhibit G'!X33</f>
        <v>12.400000000000034</v>
      </c>
      <c r="X46" s="110"/>
      <c r="Y46" s="110"/>
      <c r="Z46" s="66"/>
      <c r="AA46" s="401"/>
      <c r="AB46" s="199">
        <f t="shared" si="7"/>
        <v>1804.3</v>
      </c>
      <c r="AC46" s="66"/>
      <c r="AD46" s="879"/>
      <c r="AE46" s="110">
        <f>+'Exhibit F'!AF42+'Exhibit G'!AH33</f>
        <v>1779.1000000000001</v>
      </c>
      <c r="AF46" s="1627"/>
      <c r="AG46" s="66"/>
      <c r="AH46" s="274">
        <f t="shared" si="8"/>
        <v>25.2</v>
      </c>
      <c r="AI46" s="13"/>
      <c r="AJ46" s="384">
        <f t="shared" si="9"/>
        <v>1.4E-2</v>
      </c>
      <c r="AL46" s="62" t="s">
        <v>103</v>
      </c>
    </row>
    <row r="47" spans="1:38" ht="16.5" customHeight="1">
      <c r="A47" s="294" t="s">
        <v>377</v>
      </c>
      <c r="B47" s="294"/>
      <c r="C47" s="110">
        <f>+'Exhibit F'!D43+'Exhibit G'!D34</f>
        <v>0.79999999999999993</v>
      </c>
      <c r="D47" s="110"/>
      <c r="E47" s="110">
        <f>+'Exhibit F'!F43+'Exhibit G'!F34</f>
        <v>0</v>
      </c>
      <c r="F47" s="110"/>
      <c r="G47" s="110">
        <f>+'Exhibit F'!H43+'Exhibit G'!H34</f>
        <v>-1.8000000000000003</v>
      </c>
      <c r="H47" s="199"/>
      <c r="I47" s="110">
        <f>+'Exhibit F'!J43+'Exhibit G'!J34</f>
        <v>0</v>
      </c>
      <c r="J47" s="199"/>
      <c r="K47" s="110">
        <f>+'Exhibit F'!L43+'Exhibit G'!L34</f>
        <v>0.50000000000000033</v>
      </c>
      <c r="L47" s="66"/>
      <c r="M47" s="110">
        <f>+'Exhibit F'!N43+'Exhibit G'!N34</f>
        <v>0</v>
      </c>
      <c r="N47" s="66"/>
      <c r="O47" s="110">
        <f>+'Exhibit F'!P43+'Exhibit G'!P34</f>
        <v>9.9999999999999867E-2</v>
      </c>
      <c r="P47" s="66"/>
      <c r="Q47" s="110">
        <f>+'Exhibit F'!R43+'Exhibit G'!R34</f>
        <v>0</v>
      </c>
      <c r="R47" s="110"/>
      <c r="S47" s="110">
        <f>+'Exhibit F'!T43+'Exhibit G'!T34</f>
        <v>0</v>
      </c>
      <c r="T47" s="110"/>
      <c r="U47" s="110">
        <f>+'Exhibit F'!V43+'Exhibit G'!V34</f>
        <v>333.2</v>
      </c>
      <c r="V47" s="110"/>
      <c r="W47" s="110">
        <f>+'Exhibit F'!X43+'Exhibit G'!X34</f>
        <v>0</v>
      </c>
      <c r="X47" s="110"/>
      <c r="Y47" s="110"/>
      <c r="Z47" s="66"/>
      <c r="AA47" s="401"/>
      <c r="AB47" s="199">
        <f t="shared" si="7"/>
        <v>332.8</v>
      </c>
      <c r="AC47" s="66"/>
      <c r="AD47" s="879"/>
      <c r="AE47" s="110">
        <f>+'Exhibit F'!AF43+'Exhibit G'!AH34</f>
        <v>1</v>
      </c>
      <c r="AF47" s="1627"/>
      <c r="AG47" s="66"/>
      <c r="AH47" s="274">
        <f t="shared" si="8"/>
        <v>331.8</v>
      </c>
      <c r="AI47" s="13"/>
      <c r="AJ47" s="553">
        <f>ROUND(IF(AE47=0,1,AH47/ABS(AE47)),3)</f>
        <v>331.8</v>
      </c>
      <c r="AL47" s="62" t="s">
        <v>103</v>
      </c>
    </row>
    <row r="48" spans="1:38" ht="16.5" customHeight="1">
      <c r="A48" s="294" t="s">
        <v>378</v>
      </c>
      <c r="B48" s="294"/>
      <c r="C48" s="110">
        <f>+'Exhibit F'!D44+'Exhibit H'!B23</f>
        <v>45.4</v>
      </c>
      <c r="D48" s="110"/>
      <c r="E48" s="110">
        <f>+'Exhibit F'!F44+'Exhibit H'!D23</f>
        <v>144.89999999999998</v>
      </c>
      <c r="F48" s="110"/>
      <c r="G48" s="110">
        <f>+'Exhibit F'!H44+'Exhibit H'!F23</f>
        <v>3090.5</v>
      </c>
      <c r="H48" s="199"/>
      <c r="I48" s="110">
        <f>+'Exhibit F'!J44+'Exhibit H'!H23</f>
        <v>-51.099999999999909</v>
      </c>
      <c r="J48" s="199"/>
      <c r="K48" s="110">
        <f>+'Exhibit F'!L44+'Exhibit H'!J23</f>
        <v>108.79999999999973</v>
      </c>
      <c r="L48" s="66"/>
      <c r="M48" s="110">
        <f>+'Exhibit F'!N44+'Exhibit H'!L23</f>
        <v>3057</v>
      </c>
      <c r="N48" s="66"/>
      <c r="O48" s="110">
        <f>+'Exhibit F'!P44+'Exhibit H'!N23</f>
        <v>-918.30000000000018</v>
      </c>
      <c r="P48" s="66"/>
      <c r="Q48" s="110">
        <f>+'Exhibit F'!R44+'Exhibit H'!P23</f>
        <v>108</v>
      </c>
      <c r="R48" s="110"/>
      <c r="S48" s="110">
        <f>+'Exhibit F'!T44+'Exhibit H'!R23</f>
        <v>5386.7</v>
      </c>
      <c r="T48" s="110"/>
      <c r="U48" s="110">
        <f>+'Exhibit F'!V44+'Exhibit H'!T23</f>
        <v>375.89999999999964</v>
      </c>
      <c r="V48" s="110"/>
      <c r="W48" s="110">
        <f>+'Exhibit F'!X44+'Exhibit H'!V23</f>
        <v>172.5</v>
      </c>
      <c r="X48" s="110"/>
      <c r="Y48" s="110"/>
      <c r="Z48" s="66"/>
      <c r="AA48" s="401"/>
      <c r="AB48" s="199">
        <f t="shared" si="7"/>
        <v>11520.3</v>
      </c>
      <c r="AC48" s="66"/>
      <c r="AD48" s="879"/>
      <c r="AE48" s="110">
        <f>+'Exhibit F'!AF44+'Exhibit H'!AD23</f>
        <v>9610.2000000000007</v>
      </c>
      <c r="AF48" s="1627"/>
      <c r="AG48" s="66"/>
      <c r="AH48" s="274">
        <f t="shared" si="8"/>
        <v>1910.1</v>
      </c>
      <c r="AI48" s="13"/>
      <c r="AJ48" s="553">
        <f>ROUND(IF(AE48=0,1,AH48/ABS(AE48)),3)</f>
        <v>0.19900000000000001</v>
      </c>
    </row>
    <row r="49" spans="1:36" ht="16.5" customHeight="1">
      <c r="A49" s="294" t="s">
        <v>379</v>
      </c>
      <c r="B49" s="294"/>
      <c r="C49" s="110">
        <f>+'Exhibit F'!D45+'Exhibit G'!D35+'Exhibit I'!E25</f>
        <v>82.9</v>
      </c>
      <c r="D49" s="110"/>
      <c r="E49" s="110">
        <f>+'Exhibit F'!F45+'Exhibit G'!F35+'Exhibit I'!G25</f>
        <v>89.899999999999991</v>
      </c>
      <c r="F49" s="110"/>
      <c r="G49" s="110">
        <f>+'Exhibit F'!H45+'Exhibit G'!H35+'Exhibit I'!I25</f>
        <v>97.600000000000009</v>
      </c>
      <c r="H49" s="199"/>
      <c r="I49" s="110">
        <f>+'Exhibit F'!J45+'Exhibit G'!J35+'Exhibit I'!K25</f>
        <v>93.2</v>
      </c>
      <c r="J49" s="199"/>
      <c r="K49" s="110">
        <f>+'Exhibit F'!L45+'Exhibit G'!L35+'Exhibit I'!M25</f>
        <v>100.10000000000002</v>
      </c>
      <c r="L49" s="66"/>
      <c r="M49" s="110">
        <f>+'Exhibit F'!N45+'Exhibit G'!N35+'Exhibit I'!O25</f>
        <v>93.199999999999989</v>
      </c>
      <c r="N49" s="66"/>
      <c r="O49" s="110">
        <f>+'Exhibit F'!P45+'Exhibit G'!P35+'Exhibit I'!Q25</f>
        <v>88.399999999999977</v>
      </c>
      <c r="P49" s="66"/>
      <c r="Q49" s="110">
        <f>+'Exhibit F'!R45+'Exhibit G'!R35+'Exhibit I'!S25</f>
        <v>92.700000000000102</v>
      </c>
      <c r="R49" s="110"/>
      <c r="S49" s="110">
        <f>+'Exhibit F'!T45+'Exhibit G'!T35+'Exhibit I'!U25</f>
        <v>85.39999999999992</v>
      </c>
      <c r="T49" s="110"/>
      <c r="U49" s="110">
        <f>+'Exhibit F'!V45+'Exhibit G'!V35+'Exhibit I'!W25</f>
        <v>77.5</v>
      </c>
      <c r="V49" s="110"/>
      <c r="W49" s="110">
        <f>+'Exhibit F'!X45+'Exhibit G'!X35+'Exhibit I'!Y25</f>
        <v>83</v>
      </c>
      <c r="X49" s="110"/>
      <c r="Y49" s="110"/>
      <c r="Z49" s="66"/>
      <c r="AA49" s="401"/>
      <c r="AB49" s="199">
        <f t="shared" si="7"/>
        <v>983.9</v>
      </c>
      <c r="AC49" s="66"/>
      <c r="AD49" s="879"/>
      <c r="AE49" s="110">
        <f>+'Exhibit F'!AF45+'Exhibit G'!AH35+'Exhibit I'!AI25</f>
        <v>1029.3</v>
      </c>
      <c r="AF49" s="1627"/>
      <c r="AG49" s="66"/>
      <c r="AH49" s="274">
        <f t="shared" si="8"/>
        <v>-45.4</v>
      </c>
      <c r="AI49" s="13"/>
      <c r="AJ49" s="384">
        <f t="shared" si="9"/>
        <v>-4.3999999999999997E-2</v>
      </c>
    </row>
    <row r="50" spans="1:36" ht="16.5" customHeight="1">
      <c r="A50" s="88" t="s">
        <v>380</v>
      </c>
      <c r="B50" s="294"/>
      <c r="C50" s="1039">
        <f>ROUND(SUM(C44:C49),1)</f>
        <v>1608.8</v>
      </c>
      <c r="D50" s="1"/>
      <c r="E50" s="1039">
        <f>ROUND(SUM(E44:E49),1)</f>
        <v>434.7</v>
      </c>
      <c r="F50" s="1"/>
      <c r="G50" s="1039">
        <f>ROUND(SUM(G44:G49),1)</f>
        <v>5295.7</v>
      </c>
      <c r="H50" s="66"/>
      <c r="I50" s="1039">
        <f>ROUND(SUM(I44:I49),1)</f>
        <v>116.8</v>
      </c>
      <c r="J50" s="66"/>
      <c r="K50" s="1039">
        <f>ROUND(SUM(K44:K49),1)</f>
        <v>235.9</v>
      </c>
      <c r="L50" s="66"/>
      <c r="M50" s="1039">
        <f>ROUND(SUM(M44:M49),1)</f>
        <v>5344</v>
      </c>
      <c r="N50" s="66"/>
      <c r="O50" s="1039">
        <f>ROUND(SUM(O44:O49),1)</f>
        <v>-734.1</v>
      </c>
      <c r="P50" s="66"/>
      <c r="Q50" s="1039">
        <f>ROUND(SUM(Q44:Q49),1)</f>
        <v>200.9</v>
      </c>
      <c r="R50" s="66"/>
      <c r="S50" s="1039">
        <f>ROUND(SUM(S44:S49),1)</f>
        <v>7674.7</v>
      </c>
      <c r="T50" s="66"/>
      <c r="U50" s="1039">
        <f>ROUND(SUM(U44:U49),1)</f>
        <v>951.9</v>
      </c>
      <c r="V50" s="66"/>
      <c r="W50" s="1039">
        <f>ROUND(SUM(W44:W49),1)</f>
        <v>242.3</v>
      </c>
      <c r="X50" s="66"/>
      <c r="Y50" s="1039">
        <f>ROUND(SUM(Y44:Y49),1)</f>
        <v>0</v>
      </c>
      <c r="Z50" s="66"/>
      <c r="AA50" s="401"/>
      <c r="AB50" s="1039">
        <f>ROUND(SUM(AB44:AB49),1)</f>
        <v>21371.599999999999</v>
      </c>
      <c r="AC50" s="66"/>
      <c r="AD50" s="879"/>
      <c r="AE50" s="1039">
        <f>ROUND(SUM(AE44:AE49),1)</f>
        <v>19846.2</v>
      </c>
      <c r="AF50" s="1627"/>
      <c r="AG50" s="66"/>
      <c r="AH50" s="1039">
        <f>ROUND(SUM(AH44:AH49),1)</f>
        <v>1525.4</v>
      </c>
      <c r="AI50" s="13"/>
      <c r="AJ50" s="1041">
        <f t="shared" si="9"/>
        <v>7.6999999999999999E-2</v>
      </c>
    </row>
    <row r="51" spans="1:36" ht="16.5" customHeight="1">
      <c r="A51" s="423" t="s">
        <v>381</v>
      </c>
      <c r="B51" s="294"/>
      <c r="C51" s="263"/>
      <c r="D51" s="263"/>
      <c r="E51" s="263"/>
      <c r="F51" s="263"/>
      <c r="G51" s="263"/>
      <c r="H51" s="66"/>
      <c r="I51" s="263"/>
      <c r="J51" s="66"/>
      <c r="K51" s="263"/>
      <c r="L51" s="66"/>
      <c r="M51" s="263"/>
      <c r="N51" s="66"/>
      <c r="O51" s="263"/>
      <c r="P51" s="66"/>
      <c r="Q51" s="263"/>
      <c r="R51" s="66"/>
      <c r="S51" s="263"/>
      <c r="T51" s="66"/>
      <c r="U51" s="263"/>
      <c r="V51" s="66"/>
      <c r="W51" s="263"/>
      <c r="X51" s="66"/>
      <c r="Y51" s="263"/>
      <c r="Z51" s="66"/>
      <c r="AA51" s="401"/>
      <c r="AB51" s="66"/>
      <c r="AC51" s="66"/>
      <c r="AD51" s="879"/>
      <c r="AE51" s="197"/>
      <c r="AF51" s="1627"/>
      <c r="AG51" s="66"/>
      <c r="AH51" s="13"/>
      <c r="AI51" s="13"/>
      <c r="AJ51" s="78"/>
    </row>
    <row r="52" spans="1:36" ht="16.5" customHeight="1">
      <c r="A52" s="294" t="s">
        <v>382</v>
      </c>
      <c r="B52" s="294"/>
      <c r="C52" s="523">
        <f>+'Exhibit F'!D48</f>
        <v>0</v>
      </c>
      <c r="D52" s="523"/>
      <c r="E52" s="523">
        <f>+'Exhibit F'!F48</f>
        <v>0</v>
      </c>
      <c r="F52" s="523"/>
      <c r="G52" s="523">
        <f>+'Exhibit F'!H48</f>
        <v>0</v>
      </c>
      <c r="H52" s="199"/>
      <c r="I52" s="523">
        <f>+'Exhibit F'!J48</f>
        <v>0</v>
      </c>
      <c r="J52" s="199"/>
      <c r="K52" s="523">
        <f>+'Exhibit F'!L48</f>
        <v>0</v>
      </c>
      <c r="L52" s="66"/>
      <c r="M52" s="523">
        <f>+'Exhibit F'!N48</f>
        <v>0</v>
      </c>
      <c r="N52" s="66"/>
      <c r="O52" s="523">
        <f>+'Exhibit F'!P48</f>
        <v>0</v>
      </c>
      <c r="P52" s="66"/>
      <c r="Q52" s="523">
        <f>+'Exhibit F'!R48</f>
        <v>0</v>
      </c>
      <c r="R52" s="523"/>
      <c r="S52" s="523">
        <f>+'Exhibit F'!T48</f>
        <v>0</v>
      </c>
      <c r="T52" s="523"/>
      <c r="U52" s="523">
        <f>+'Exhibit F'!V48</f>
        <v>0</v>
      </c>
      <c r="V52" s="523"/>
      <c r="W52" s="523">
        <f>+'Exhibit F'!X48</f>
        <v>0</v>
      </c>
      <c r="X52" s="523"/>
      <c r="Y52" s="523"/>
      <c r="Z52" s="66"/>
      <c r="AA52" s="401"/>
      <c r="AB52" s="199">
        <f t="shared" ref="AB52:AB56" si="10">ROUND(SUM(C52:Y52),1)</f>
        <v>0</v>
      </c>
      <c r="AC52" s="66"/>
      <c r="AD52" s="879"/>
      <c r="AE52" s="523">
        <f>+'Exhibit F'!AF48</f>
        <v>0</v>
      </c>
      <c r="AF52" s="1627"/>
      <c r="AG52" s="66"/>
      <c r="AH52" s="274">
        <f t="shared" ref="AH52:AH56" si="11">ROUND(SUM(+AB52-AE52),1)</f>
        <v>0</v>
      </c>
      <c r="AI52" s="13"/>
      <c r="AJ52" s="276">
        <f>-ROUND(IF(AE52=0,0,AH52/ABS(AE52)),3)</f>
        <v>0</v>
      </c>
    </row>
    <row r="53" spans="1:36" ht="16.5" customHeight="1">
      <c r="A53" s="294" t="s">
        <v>383</v>
      </c>
      <c r="B53" s="294"/>
      <c r="C53" s="110">
        <f>+'Exhibit F'!D49</f>
        <v>183.8</v>
      </c>
      <c r="D53" s="110"/>
      <c r="E53" s="110">
        <f>+'Exhibit F'!F49</f>
        <v>119.79999999999995</v>
      </c>
      <c r="F53" s="110"/>
      <c r="G53" s="110">
        <f>+'Exhibit F'!H49</f>
        <v>111.00000000000006</v>
      </c>
      <c r="H53" s="199"/>
      <c r="I53" s="110">
        <f>+'Exhibit F'!J49</f>
        <v>94.799999999999955</v>
      </c>
      <c r="J53" s="199"/>
      <c r="K53" s="110">
        <f>+'Exhibit F'!L49</f>
        <v>121.89999999999998</v>
      </c>
      <c r="L53" s="199"/>
      <c r="M53" s="110">
        <f>+'Exhibit F'!N49</f>
        <v>100.50000000000006</v>
      </c>
      <c r="N53" s="66"/>
      <c r="O53" s="110">
        <f>+'Exhibit F'!P49</f>
        <v>77.5</v>
      </c>
      <c r="P53" s="66"/>
      <c r="Q53" s="110">
        <f>+'Exhibit F'!R49</f>
        <v>106.80000000000007</v>
      </c>
      <c r="R53" s="110"/>
      <c r="S53" s="110">
        <f>+'Exhibit F'!T49</f>
        <v>136.39999999999998</v>
      </c>
      <c r="T53" s="110"/>
      <c r="U53" s="110">
        <f>+'Exhibit F'!V49</f>
        <v>63.799999999999955</v>
      </c>
      <c r="V53" s="110"/>
      <c r="W53" s="110">
        <f>+'Exhibit F'!X49</f>
        <v>94.799999999999955</v>
      </c>
      <c r="X53" s="110"/>
      <c r="Y53" s="110"/>
      <c r="Z53" s="66"/>
      <c r="AA53" s="401"/>
      <c r="AB53" s="199">
        <f t="shared" si="10"/>
        <v>1211.0999999999999</v>
      </c>
      <c r="AC53" s="66"/>
      <c r="AD53" s="879"/>
      <c r="AE53" s="110">
        <f>+'Exhibit F'!AF49</f>
        <v>1792.8</v>
      </c>
      <c r="AF53" s="1627"/>
      <c r="AG53" s="66"/>
      <c r="AH53" s="274">
        <f t="shared" si="11"/>
        <v>-581.70000000000005</v>
      </c>
      <c r="AI53" s="13"/>
      <c r="AJ53" s="384">
        <f t="shared" ref="AJ53:AJ58" si="12">ROUND(IF(AE53=0,0,AH53/ABS(AE53)),3)</f>
        <v>-0.32400000000000001</v>
      </c>
    </row>
    <row r="54" spans="1:36" ht="16.5" customHeight="1">
      <c r="A54" s="294" t="s">
        <v>384</v>
      </c>
      <c r="B54" s="294"/>
      <c r="C54" s="110">
        <f>+'Exhibit F'!D50</f>
        <v>1.2</v>
      </c>
      <c r="D54" s="110"/>
      <c r="E54" s="110">
        <f>+'Exhibit F'!F50</f>
        <v>1.0999999999999999</v>
      </c>
      <c r="F54" s="110"/>
      <c r="G54" s="110">
        <f>+'Exhibit F'!H50</f>
        <v>1.3000000000000005</v>
      </c>
      <c r="H54" s="199"/>
      <c r="I54" s="110">
        <f>+'Exhibit F'!J50</f>
        <v>1.0999999999999999</v>
      </c>
      <c r="J54" s="199"/>
      <c r="K54" s="110">
        <f>+'Exhibit F'!L50</f>
        <v>1.7</v>
      </c>
      <c r="L54" s="199"/>
      <c r="M54" s="110">
        <f>+'Exhibit F'!N50</f>
        <v>1.6999999999999995</v>
      </c>
      <c r="N54" s="66"/>
      <c r="O54" s="110">
        <f>+'Exhibit F'!P50</f>
        <v>0.40000000000000036</v>
      </c>
      <c r="P54" s="66"/>
      <c r="Q54" s="110">
        <f>+'Exhibit F'!R50</f>
        <v>1.1999999999999993</v>
      </c>
      <c r="R54" s="110"/>
      <c r="S54" s="110">
        <f>+'Exhibit F'!T50</f>
        <v>0.70000000000000107</v>
      </c>
      <c r="T54" s="110"/>
      <c r="U54" s="110">
        <f>+'Exhibit F'!V50</f>
        <v>0.5</v>
      </c>
      <c r="V54" s="110"/>
      <c r="W54" s="110">
        <f>+'Exhibit F'!X50</f>
        <v>0.59999999999999964</v>
      </c>
      <c r="X54" s="110"/>
      <c r="Y54" s="110"/>
      <c r="Z54" s="66"/>
      <c r="AA54" s="401"/>
      <c r="AB54" s="199">
        <f t="shared" si="10"/>
        <v>11.5</v>
      </c>
      <c r="AC54" s="66"/>
      <c r="AD54" s="879"/>
      <c r="AE54" s="110">
        <f>+'Exhibit F'!AF50</f>
        <v>12</v>
      </c>
      <c r="AF54" s="1627"/>
      <c r="AG54" s="66"/>
      <c r="AH54" s="274">
        <f t="shared" si="11"/>
        <v>-0.5</v>
      </c>
      <c r="AI54" s="13"/>
      <c r="AJ54" s="384">
        <f t="shared" si="12"/>
        <v>-4.2000000000000003E-2</v>
      </c>
    </row>
    <row r="55" spans="1:36" ht="16.5" customHeight="1">
      <c r="A55" s="294" t="s">
        <v>385</v>
      </c>
      <c r="B55" s="294"/>
      <c r="C55" s="110">
        <f>+'Exhibit F'!D51+'Exhibit H'!B26+'Exhibit I'!E28</f>
        <v>83</v>
      </c>
      <c r="D55" s="110"/>
      <c r="E55" s="110">
        <f>+'Exhibit F'!F51+'Exhibit H'!D26+'Exhibit I'!G28</f>
        <v>95.6</v>
      </c>
      <c r="F55" s="110"/>
      <c r="G55" s="110">
        <f>+'Exhibit F'!H51+'Exhibit H'!F26+'Exhibit I'!I28</f>
        <v>95.000000000000014</v>
      </c>
      <c r="H55" s="199"/>
      <c r="I55" s="110">
        <f>+'Exhibit F'!J51+'Exhibit H'!H26+'Exhibit I'!K28</f>
        <v>116.7</v>
      </c>
      <c r="J55" s="199"/>
      <c r="K55" s="110">
        <f>+'Exhibit F'!L51+'Exhibit H'!J26+'Exhibit I'!M28</f>
        <v>122.99999999999999</v>
      </c>
      <c r="L55" s="199"/>
      <c r="M55" s="110">
        <f>+'Exhibit F'!N51+'Exhibit H'!L26+'Exhibit I'!O28</f>
        <v>103.90000000000005</v>
      </c>
      <c r="N55" s="66"/>
      <c r="O55" s="110">
        <f>+'Exhibit F'!P51+'Exhibit H'!N26+'Exhibit I'!Q28</f>
        <v>107.89999999999989</v>
      </c>
      <c r="P55" s="66"/>
      <c r="Q55" s="110">
        <f>+'Exhibit F'!R51+'Exhibit H'!P26+'Exhibit I'!S28</f>
        <v>107.00000000000009</v>
      </c>
      <c r="R55" s="110"/>
      <c r="S55" s="110">
        <f>+'Exhibit F'!T51+'Exhibit H'!R26+'Exhibit I'!U28</f>
        <v>100.7999999999999</v>
      </c>
      <c r="T55" s="110"/>
      <c r="U55" s="110">
        <f>+'Exhibit F'!V51+'Exhibit H'!T26+'Exhibit I'!W28</f>
        <v>123.00000000000006</v>
      </c>
      <c r="V55" s="110"/>
      <c r="W55" s="110">
        <f>+'Exhibit F'!X51+'Exhibit H'!V26+'Exhibit I'!Y28</f>
        <v>105.69999999999999</v>
      </c>
      <c r="X55" s="110"/>
      <c r="Y55" s="110"/>
      <c r="Z55" s="66"/>
      <c r="AA55" s="401"/>
      <c r="AB55" s="199">
        <f t="shared" si="10"/>
        <v>1161.5999999999999</v>
      </c>
      <c r="AC55" s="66"/>
      <c r="AD55" s="879"/>
      <c r="AE55" s="110">
        <f>+'Exhibit F'!AF51+'Exhibit H'!AD26+'Exhibit I'!AI28</f>
        <v>1090.5</v>
      </c>
      <c r="AF55" s="1627"/>
      <c r="AG55" s="66"/>
      <c r="AH55" s="274">
        <f t="shared" si="11"/>
        <v>71.099999999999994</v>
      </c>
      <c r="AI55" s="13"/>
      <c r="AJ55" s="384">
        <f t="shared" si="12"/>
        <v>6.5000000000000002E-2</v>
      </c>
    </row>
    <row r="56" spans="1:36" ht="16.5" customHeight="1">
      <c r="A56" s="294" t="s">
        <v>386</v>
      </c>
      <c r="B56" s="294"/>
      <c r="C56" s="110">
        <f>+'Exhibit F'!D52</f>
        <v>0.2</v>
      </c>
      <c r="D56" s="110"/>
      <c r="E56" s="110">
        <f>+'Exhibit F'!F52</f>
        <v>0</v>
      </c>
      <c r="F56" s="110"/>
      <c r="G56" s="110">
        <f>+'Exhibit F'!H52</f>
        <v>0</v>
      </c>
      <c r="H56" s="199"/>
      <c r="I56" s="110">
        <f>+'Exhibit F'!J52</f>
        <v>9.9999999999999978E-2</v>
      </c>
      <c r="J56" s="199"/>
      <c r="K56" s="110">
        <f>+'Exhibit F'!L52</f>
        <v>0</v>
      </c>
      <c r="L56" s="199"/>
      <c r="M56" s="110">
        <f>+'Exhibit F'!N52</f>
        <v>0</v>
      </c>
      <c r="N56" s="66"/>
      <c r="O56" s="110">
        <f>+'Exhibit F'!P52</f>
        <v>0.10000000000000003</v>
      </c>
      <c r="P56" s="66"/>
      <c r="Q56" s="110">
        <f>+'Exhibit F'!R52</f>
        <v>0</v>
      </c>
      <c r="R56" s="110"/>
      <c r="S56" s="110">
        <f>+'Exhibit F'!T52</f>
        <v>1.5</v>
      </c>
      <c r="T56" s="110"/>
      <c r="U56" s="110">
        <f>+'Exhibit F'!V52</f>
        <v>0</v>
      </c>
      <c r="V56" s="110"/>
      <c r="W56" s="110">
        <f>+'Exhibit F'!X52</f>
        <v>0.10000000000000009</v>
      </c>
      <c r="X56" s="110"/>
      <c r="Y56" s="110"/>
      <c r="Z56" s="66"/>
      <c r="AA56" s="401"/>
      <c r="AB56" s="199">
        <f t="shared" si="10"/>
        <v>2</v>
      </c>
      <c r="AC56" s="66"/>
      <c r="AD56" s="879"/>
      <c r="AE56" s="110">
        <f>+'Exhibit F'!AF52</f>
        <v>1.4</v>
      </c>
      <c r="AF56" s="1627"/>
      <c r="AG56" s="66"/>
      <c r="AH56" s="274">
        <f t="shared" si="11"/>
        <v>0.6</v>
      </c>
      <c r="AI56" s="13"/>
      <c r="AJ56" s="276">
        <f>ROUND(IF(AE56=0,1,AH56/ABS(AE56)),3)</f>
        <v>0.42899999999999999</v>
      </c>
    </row>
    <row r="57" spans="1:36" ht="16.5" customHeight="1">
      <c r="A57" s="431" t="s">
        <v>387</v>
      </c>
      <c r="B57" s="294"/>
      <c r="C57" s="110">
        <f>+'Exhibit F'!D53+'Exhibit H'!B27</f>
        <v>0.4</v>
      </c>
      <c r="D57" s="110"/>
      <c r="E57" s="110">
        <f>+'Exhibit F'!F53+'Exhibit H'!D27</f>
        <v>0.30000000000000004</v>
      </c>
      <c r="F57" s="110"/>
      <c r="G57" s="110">
        <f>+'Exhibit F'!H53+'Exhibit H'!F27</f>
        <v>0.29999999999999993</v>
      </c>
      <c r="H57" s="199"/>
      <c r="I57" s="110">
        <f>+'Exhibit F'!J53+'Exhibit H'!H27</f>
        <v>0.79999999999999982</v>
      </c>
      <c r="J57" s="199"/>
      <c r="K57" s="110">
        <f>+'Exhibit F'!L53+'Exhibit H'!J27</f>
        <v>0.20000000000000023</v>
      </c>
      <c r="L57" s="66"/>
      <c r="M57" s="110">
        <f>+'Exhibit F'!N53+'Exhibit H'!L27</f>
        <v>0.39999999999999991</v>
      </c>
      <c r="N57" s="66"/>
      <c r="O57" s="110">
        <f>+'Exhibit F'!P53+'Exhibit H'!N27</f>
        <v>0.60000000000000009</v>
      </c>
      <c r="P57" s="66"/>
      <c r="Q57" s="110">
        <f>+'Exhibit F'!R53+'Exhibit H'!P27</f>
        <v>0.60000000000000009</v>
      </c>
      <c r="R57" s="110"/>
      <c r="S57" s="110">
        <f>+'Exhibit F'!T53+'Exhibit H'!R27</f>
        <v>10.200000000000001</v>
      </c>
      <c r="T57" s="110"/>
      <c r="U57" s="110">
        <f>+'Exhibit F'!V53+'Exhibit H'!T27</f>
        <v>0.90000000000000036</v>
      </c>
      <c r="V57" s="110"/>
      <c r="W57" s="110">
        <f>+'Exhibit F'!X53+'Exhibit H'!V27</f>
        <v>0.19999999999999929</v>
      </c>
      <c r="X57" s="110"/>
      <c r="Y57" s="110"/>
      <c r="Z57" s="66"/>
      <c r="AA57" s="401"/>
      <c r="AB57" s="199">
        <f t="shared" ref="AB57" si="13">ROUND(SUM(C57:Y57),1)</f>
        <v>14.9</v>
      </c>
      <c r="AC57" s="66"/>
      <c r="AD57" s="879"/>
      <c r="AE57" s="110">
        <f>+'Exhibit F'!AF53+'Exhibit H'!AD27</f>
        <v>13</v>
      </c>
      <c r="AF57" s="1627"/>
      <c r="AG57" s="66"/>
      <c r="AH57" s="274">
        <f>ROUND(SUM(+AB57-AE57),1)</f>
        <v>1.9</v>
      </c>
      <c r="AI57" s="67"/>
      <c r="AJ57" s="544">
        <f>ROUND(IF(AE57=0,1,AH57/ABS(AE57)),3)</f>
        <v>0.14599999999999999</v>
      </c>
    </row>
    <row r="58" spans="1:36" ht="16.5" customHeight="1">
      <c r="A58" s="88" t="s">
        <v>388</v>
      </c>
      <c r="B58" s="294"/>
      <c r="C58" s="1039">
        <f>ROUND(SUM(C52:C57),1)</f>
        <v>268.60000000000002</v>
      </c>
      <c r="D58" s="1"/>
      <c r="E58" s="1039">
        <f>ROUND(SUM(E52:E57),1)</f>
        <v>216.8</v>
      </c>
      <c r="F58" s="1"/>
      <c r="G58" s="1039">
        <f>ROUND(SUM(G52:G57),1)</f>
        <v>207.6</v>
      </c>
      <c r="H58" s="66"/>
      <c r="I58" s="1039">
        <f>ROUND(SUM(I52:I57),1)</f>
        <v>213.5</v>
      </c>
      <c r="J58" s="66"/>
      <c r="K58" s="1039">
        <f>ROUND(SUM(K52:K57),1)</f>
        <v>246.8</v>
      </c>
      <c r="L58" s="66"/>
      <c r="M58" s="1039">
        <f>ROUND(SUM(M52:M57),1)</f>
        <v>206.5</v>
      </c>
      <c r="N58" s="66"/>
      <c r="O58" s="1039">
        <f>ROUND(SUM(O52:O57),1)</f>
        <v>186.5</v>
      </c>
      <c r="P58" s="66"/>
      <c r="Q58" s="1039">
        <f>ROUND(SUM(Q52:Q57),1)</f>
        <v>215.6</v>
      </c>
      <c r="R58" s="66"/>
      <c r="S58" s="1039">
        <f>ROUND(SUM(S52:S57),1)</f>
        <v>249.6</v>
      </c>
      <c r="T58" s="66"/>
      <c r="U58" s="1039">
        <f>ROUND(SUM(U52:U57),1)</f>
        <v>188.2</v>
      </c>
      <c r="V58" s="66"/>
      <c r="W58" s="1039">
        <f>ROUND(SUM(W52:W57),1)</f>
        <v>201.4</v>
      </c>
      <c r="X58" s="66"/>
      <c r="Y58" s="1039">
        <f>ROUND(SUM(Y52:Y57),1)</f>
        <v>0</v>
      </c>
      <c r="Z58" s="66"/>
      <c r="AA58" s="401"/>
      <c r="AB58" s="1039">
        <f>ROUND(SUM(AB52:AB57),1)</f>
        <v>2401.1</v>
      </c>
      <c r="AC58" s="66"/>
      <c r="AD58" s="879"/>
      <c r="AE58" s="1039">
        <f>ROUND(SUM(AE52:AE57),1)</f>
        <v>2909.7</v>
      </c>
      <c r="AF58" s="1627"/>
      <c r="AG58" s="66"/>
      <c r="AH58" s="1039">
        <f>ROUND(SUM(AH52:AH57),1)</f>
        <v>-508.6</v>
      </c>
      <c r="AI58" s="13"/>
      <c r="AJ58" s="1041">
        <f t="shared" si="12"/>
        <v>-0.17499999999999999</v>
      </c>
    </row>
    <row r="59" spans="1:36" ht="16.5" customHeight="1">
      <c r="A59" s="88"/>
      <c r="B59" s="294"/>
      <c r="C59" s="1"/>
      <c r="D59" s="1"/>
      <c r="E59" s="1"/>
      <c r="F59" s="1"/>
      <c r="G59" s="1"/>
      <c r="H59" s="66"/>
      <c r="I59" s="1"/>
      <c r="J59" s="66"/>
      <c r="K59" s="1"/>
      <c r="L59" s="66"/>
      <c r="M59" s="1"/>
      <c r="N59" s="66"/>
      <c r="O59" s="1"/>
      <c r="P59" s="66"/>
      <c r="Q59" s="1"/>
      <c r="R59" s="66"/>
      <c r="S59" s="1"/>
      <c r="T59" s="66"/>
      <c r="U59" s="1"/>
      <c r="V59" s="66"/>
      <c r="W59" s="1"/>
      <c r="X59" s="66"/>
      <c r="Y59" s="1"/>
      <c r="Z59" s="66"/>
      <c r="AA59" s="198"/>
      <c r="AB59" s="66"/>
      <c r="AC59" s="66"/>
      <c r="AD59" s="879"/>
      <c r="AE59" s="66"/>
      <c r="AF59" s="1627"/>
      <c r="AG59" s="66"/>
      <c r="AH59" s="278"/>
      <c r="AI59" s="66"/>
      <c r="AJ59" s="278"/>
    </row>
    <row r="60" spans="1:36" ht="16.5" customHeight="1">
      <c r="A60" s="88" t="s">
        <v>389</v>
      </c>
      <c r="B60" s="374"/>
      <c r="C60" s="1010">
        <f>ROUND(SUM(C58+C50+C42+C30),1)</f>
        <v>10911.2</v>
      </c>
      <c r="D60" s="274"/>
      <c r="E60" s="1010">
        <f>ROUND(SUM(E58+E50+E42+E30),1)</f>
        <v>6190</v>
      </c>
      <c r="F60" s="274"/>
      <c r="G60" s="1010">
        <f>ROUND(SUM(G58+G50+G42+G30),1)</f>
        <v>12772.8</v>
      </c>
      <c r="H60" s="274"/>
      <c r="I60" s="1010">
        <f>ROUND(SUM(I58+I50+I42+I30),1)</f>
        <v>6279.3</v>
      </c>
      <c r="J60" s="274"/>
      <c r="K60" s="1010">
        <f>ROUND(SUM(K58+K50+K42+K30),1)</f>
        <v>5751.5</v>
      </c>
      <c r="L60" s="274"/>
      <c r="M60" s="1010">
        <f>ROUND(SUM(M58+M50+M42+M30),1)</f>
        <v>12720.3</v>
      </c>
      <c r="N60" s="274"/>
      <c r="O60" s="1010">
        <f>ROUND(SUM(O58+O50+O42+O30),1)</f>
        <v>3949</v>
      </c>
      <c r="P60" s="274"/>
      <c r="Q60" s="1010">
        <f>ROUND(SUM(Q58+Q50+Q42+Q30),1)</f>
        <v>5823.9</v>
      </c>
      <c r="R60" s="274"/>
      <c r="S60" s="1010">
        <f>ROUND(SUM(S58+S50+S42+S30),1)</f>
        <v>15492.2</v>
      </c>
      <c r="T60" s="274"/>
      <c r="U60" s="1010">
        <f>ROUND(SUM(U58+U50+U42+U30),1)</f>
        <v>12167.8</v>
      </c>
      <c r="V60" s="274"/>
      <c r="W60" s="1010">
        <f>ROUND(SUM(W58+W50+W42+W30),1)</f>
        <v>8258.5</v>
      </c>
      <c r="X60" s="278"/>
      <c r="Y60" s="1010">
        <f>ROUND(SUM(Y58+Y50+Y42+Y30),1)</f>
        <v>0</v>
      </c>
      <c r="Z60" s="278"/>
      <c r="AA60" s="875"/>
      <c r="AB60" s="1042">
        <f>ROUND(+AB58+AB50+AB42+AB30,1)</f>
        <v>100316.5</v>
      </c>
      <c r="AC60" s="274"/>
      <c r="AD60" s="534"/>
      <c r="AE60" s="1042">
        <f>ROUND(+AE58+AE50+AE42+AE30,1)</f>
        <v>92250.3</v>
      </c>
      <c r="AF60" s="530"/>
      <c r="AG60" s="712"/>
      <c r="AH60" s="1042">
        <f>ROUND(+AH58+AH50+AH42+AH30,1)</f>
        <v>8066.2</v>
      </c>
      <c r="AI60" s="274"/>
      <c r="AJ60" s="881">
        <f>ROUND(IF(AE60=0,0,AH60/ABS(AE60)),3)</f>
        <v>8.6999999999999994E-2</v>
      </c>
    </row>
    <row r="61" spans="1:36" ht="16.5" customHeight="1">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629"/>
      <c r="AG61" s="199"/>
      <c r="AH61" s="199"/>
      <c r="AI61" s="66"/>
      <c r="AJ61" s="293"/>
    </row>
    <row r="62" spans="1:36" ht="16.5" customHeight="1">
      <c r="A62" s="1248" t="s">
        <v>390</v>
      </c>
      <c r="B62" s="376"/>
      <c r="C62" s="199"/>
      <c r="D62" s="199"/>
      <c r="E62" s="199"/>
      <c r="F62" s="199"/>
      <c r="G62" s="199"/>
      <c r="H62" s="199"/>
      <c r="I62" s="199" t="s">
        <v>103</v>
      </c>
      <c r="J62" s="199"/>
      <c r="K62" s="199" t="s">
        <v>103</v>
      </c>
      <c r="L62" s="199"/>
      <c r="M62" s="199" t="s">
        <v>103</v>
      </c>
      <c r="N62" s="199"/>
      <c r="O62" s="199" t="s">
        <v>103</v>
      </c>
      <c r="P62" s="199"/>
      <c r="Q62" s="199"/>
      <c r="R62" s="199"/>
      <c r="S62" s="199"/>
      <c r="T62" s="199"/>
      <c r="U62" s="199"/>
      <c r="V62" s="199"/>
      <c r="W62" s="199"/>
      <c r="X62" s="199"/>
      <c r="Y62" s="199"/>
      <c r="Z62" s="199"/>
      <c r="AA62" s="200"/>
      <c r="AB62" s="199"/>
      <c r="AC62" s="199"/>
      <c r="AD62" s="882"/>
      <c r="AE62" s="199"/>
      <c r="AF62" s="1629"/>
      <c r="AG62" s="199"/>
      <c r="AH62" s="199"/>
      <c r="AI62" s="66"/>
      <c r="AJ62" s="293"/>
    </row>
    <row r="63" spans="1:36" ht="16.5" customHeight="1">
      <c r="A63" s="360" t="s">
        <v>391</v>
      </c>
      <c r="B63" s="37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629"/>
      <c r="AG63" s="199"/>
      <c r="AH63" s="199"/>
      <c r="AI63" s="66"/>
      <c r="AJ63" s="293"/>
    </row>
    <row r="64" spans="1:36" ht="16.5" customHeight="1">
      <c r="A64" s="360" t="s">
        <v>392</v>
      </c>
      <c r="B64" s="360"/>
      <c r="C64" s="199">
        <f>+'Exhibit F'!D60+'Exhibit G'!D42</f>
        <v>1.5</v>
      </c>
      <c r="D64" s="199"/>
      <c r="E64" s="199">
        <f>+'Exhibit F'!F60+'Exhibit G'!F42</f>
        <v>1</v>
      </c>
      <c r="F64" s="199"/>
      <c r="G64" s="199">
        <f>+'Exhibit F'!H60+'Exhibit G'!H42</f>
        <v>1</v>
      </c>
      <c r="H64" s="199"/>
      <c r="I64" s="199">
        <f>+'Exhibit F'!J60+'Exhibit G'!J42</f>
        <v>1.4</v>
      </c>
      <c r="J64" s="199"/>
      <c r="K64" s="199">
        <f>+'Exhibit F'!L60+'Exhibit G'!L42</f>
        <v>10.9</v>
      </c>
      <c r="L64" s="199"/>
      <c r="M64" s="199">
        <f>+'Exhibit F'!N60+'Exhibit G'!N42</f>
        <v>101.09999999999998</v>
      </c>
      <c r="N64" s="199"/>
      <c r="O64" s="199">
        <f>+'Exhibit F'!P60+'Exhibit G'!P42</f>
        <v>31.000000000000028</v>
      </c>
      <c r="P64" s="199"/>
      <c r="Q64" s="199">
        <f>+'Exhibit F'!R60+'Exhibit G'!R42</f>
        <v>131.1</v>
      </c>
      <c r="R64" s="199"/>
      <c r="S64" s="199">
        <f>+'Exhibit F'!T60+'Exhibit G'!T42</f>
        <v>1.5000000000000231</v>
      </c>
      <c r="T64" s="199"/>
      <c r="U64" s="199">
        <f>+'Exhibit F'!V60+'Exhibit G'!V42</f>
        <v>32.199999999999974</v>
      </c>
      <c r="V64" s="199"/>
      <c r="W64" s="199">
        <f>+'Exhibit F'!X60+'Exhibit G'!X42</f>
        <v>18.300000000000026</v>
      </c>
      <c r="X64" s="199"/>
      <c r="Y64" s="199"/>
      <c r="Z64" s="199"/>
      <c r="AA64" s="200"/>
      <c r="AB64" s="199">
        <f t="shared" ref="AB64:AB105" si="14">ROUND(SUM(C64:Y64),1)</f>
        <v>331</v>
      </c>
      <c r="AC64" s="199"/>
      <c r="AD64" s="882"/>
      <c r="AE64" s="199">
        <f>+'Exhibit F'!AF60+'Exhibit G'!AH42</f>
        <v>326.89999999999998</v>
      </c>
      <c r="AF64" s="1629"/>
      <c r="AG64" s="199"/>
      <c r="AH64" s="199">
        <f t="shared" ref="AH64:AH105" si="15">ROUND(SUM(AB64-AE64),1)</f>
        <v>4.0999999999999996</v>
      </c>
      <c r="AI64" s="66"/>
      <c r="AJ64" s="384">
        <f>ROUND(IF(AE64=0,0,AH64/ABS(AE64)),3)</f>
        <v>1.2999999999999999E-2</v>
      </c>
    </row>
    <row r="65" spans="1:36" ht="16.5" customHeight="1">
      <c r="A65" s="360" t="s">
        <v>393</v>
      </c>
      <c r="B65" s="360"/>
      <c r="C65" s="199">
        <f>+'Exhibit F'!D61+'Exhibit I'!E35</f>
        <v>0.4</v>
      </c>
      <c r="D65" s="199"/>
      <c r="E65" s="199">
        <f>+'Exhibit F'!F61+'Exhibit I'!G35</f>
        <v>0</v>
      </c>
      <c r="F65" s="199"/>
      <c r="G65" s="199">
        <f>+'Exhibit F'!H61+'Exhibit I'!I35</f>
        <v>17.200000000000003</v>
      </c>
      <c r="H65" s="199"/>
      <c r="I65" s="199">
        <f>+'Exhibit F'!J61+'Exhibit I'!K35</f>
        <v>2.7999999999999972</v>
      </c>
      <c r="J65" s="199"/>
      <c r="K65" s="199">
        <f>+'Exhibit F'!L61+'Exhibit I'!M35</f>
        <v>0.80000000000000071</v>
      </c>
      <c r="L65" s="199"/>
      <c r="M65" s="199">
        <f>+'Exhibit F'!N61+'Exhibit I'!O35</f>
        <v>36.900000000000006</v>
      </c>
      <c r="N65" s="199"/>
      <c r="O65" s="199">
        <f>+'Exhibit F'!P61+'Exhibit I'!Q35</f>
        <v>2.7999999999999972</v>
      </c>
      <c r="P65" s="199"/>
      <c r="Q65" s="199">
        <f>+'Exhibit F'!R61+'Exhibit I'!S35</f>
        <v>-0.10000000000000142</v>
      </c>
      <c r="R65" s="199"/>
      <c r="S65" s="199">
        <f>+'Exhibit F'!T61+'Exhibit I'!U35</f>
        <v>22.800000000000004</v>
      </c>
      <c r="T65" s="199"/>
      <c r="U65" s="199">
        <f>+'Exhibit F'!V61+'Exhibit I'!W35</f>
        <v>1.3999999999999986</v>
      </c>
      <c r="V65" s="199"/>
      <c r="W65" s="199">
        <f>+'Exhibit F'!X61+'Exhibit I'!Y35</f>
        <v>2.2000000000000028</v>
      </c>
      <c r="X65" s="199"/>
      <c r="Y65" s="199"/>
      <c r="Z65" s="199"/>
      <c r="AA65" s="200"/>
      <c r="AB65" s="199">
        <f t="shared" si="14"/>
        <v>87.2</v>
      </c>
      <c r="AC65" s="199"/>
      <c r="AD65" s="882"/>
      <c r="AE65" s="199">
        <f>+'Exhibit F'!AF61+'Exhibit I'!AI35</f>
        <v>101.30000000000001</v>
      </c>
      <c r="AF65" s="1629"/>
      <c r="AG65" s="199"/>
      <c r="AH65" s="199">
        <f t="shared" si="15"/>
        <v>-14.1</v>
      </c>
      <c r="AI65" s="66"/>
      <c r="AJ65" s="880">
        <f>ROUND(IF(AE65=0,0,AH65/ABS(AE65)),3)</f>
        <v>-0.13900000000000001</v>
      </c>
    </row>
    <row r="66" spans="1:36" ht="16.5" customHeight="1">
      <c r="A66" s="360" t="s">
        <v>394</v>
      </c>
      <c r="B66" s="360"/>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629"/>
      <c r="AG66" s="199"/>
      <c r="AH66" s="199"/>
      <c r="AI66" s="66"/>
      <c r="AJ66" s="384"/>
    </row>
    <row r="67" spans="1:36" ht="16.5" customHeight="1">
      <c r="A67" s="360" t="s">
        <v>395</v>
      </c>
      <c r="B67" s="360"/>
      <c r="C67" s="199">
        <f>+'Exhibit F'!D63+'Exhibit G'!D44+'Exhibit I'!E37</f>
        <v>99.6</v>
      </c>
      <c r="D67" s="199"/>
      <c r="E67" s="199">
        <f>+'Exhibit F'!F63+'Exhibit G'!F44+'Exhibit I'!G37</f>
        <v>90.499999999999986</v>
      </c>
      <c r="F67" s="199"/>
      <c r="G67" s="199">
        <f>+'Exhibit F'!H63+'Exhibit G'!H44+'Exhibit I'!I37</f>
        <v>79.400000000000006</v>
      </c>
      <c r="H67" s="199"/>
      <c r="I67" s="199">
        <f>+'Exhibit F'!J63+'Exhibit G'!J44+'Exhibit I'!K37</f>
        <v>56.600000000000009</v>
      </c>
      <c r="J67" s="199"/>
      <c r="K67" s="199">
        <f>+'Exhibit F'!L63+'Exhibit G'!L44+'Exhibit I'!M37</f>
        <v>67.699999999999989</v>
      </c>
      <c r="L67" s="199"/>
      <c r="M67" s="199">
        <f>+'Exhibit F'!N63+'Exhibit G'!N44+'Exhibit I'!O37</f>
        <v>59.999999999999986</v>
      </c>
      <c r="N67" s="199"/>
      <c r="O67" s="199">
        <f>+'Exhibit F'!P63+'Exhibit G'!P44+'Exhibit I'!Q37</f>
        <v>112.39999999999998</v>
      </c>
      <c r="P67" s="199"/>
      <c r="Q67" s="199">
        <f>+'Exhibit F'!R63+'Exhibit G'!R44+'Exhibit I'!S37</f>
        <v>61.000000000000078</v>
      </c>
      <c r="R67" s="199"/>
      <c r="S67" s="199">
        <f>+'Exhibit F'!T63+'Exhibit G'!T44+'Exhibit I'!U37</f>
        <v>101.09999999999991</v>
      </c>
      <c r="T67" s="199"/>
      <c r="U67" s="199">
        <f>+'Exhibit F'!V63+'Exhibit G'!V44+'Exhibit I'!W37</f>
        <v>105.90000000000008</v>
      </c>
      <c r="V67" s="199"/>
      <c r="W67" s="199">
        <f>+'Exhibit F'!X63+'Exhibit G'!X44+'Exhibit I'!Y37</f>
        <v>38.4</v>
      </c>
      <c r="X67" s="199"/>
      <c r="Y67" s="199"/>
      <c r="Z67" s="199"/>
      <c r="AA67" s="200"/>
      <c r="AB67" s="199">
        <f>ROUND(SUM(C67:Y67),1)</f>
        <v>872.6</v>
      </c>
      <c r="AC67" s="199"/>
      <c r="AD67" s="882"/>
      <c r="AE67" s="199">
        <f>+'Exhibit F'!AF63+'Exhibit G'!AH44+'Exhibit I'!AI37</f>
        <v>767.6</v>
      </c>
      <c r="AF67" s="1629"/>
      <c r="AG67" s="199"/>
      <c r="AH67" s="199">
        <f t="shared" si="15"/>
        <v>105</v>
      </c>
      <c r="AI67" s="66"/>
      <c r="AJ67" s="384">
        <f>ROUND(IF(AE67=0,0,AH67/ABS(AE67)),3)</f>
        <v>0.13700000000000001</v>
      </c>
    </row>
    <row r="68" spans="1:36" ht="16.5" customHeight="1">
      <c r="A68" s="360" t="s">
        <v>396</v>
      </c>
      <c r="B68" s="360"/>
      <c r="C68" s="199">
        <f>+'Exhibit F'!D64+'Exhibit G'!D45</f>
        <v>666.4</v>
      </c>
      <c r="D68" s="199"/>
      <c r="E68" s="199">
        <f>+'Exhibit F'!F64+'Exhibit G'!F45</f>
        <v>622.70000000000005</v>
      </c>
      <c r="F68" s="199"/>
      <c r="G68" s="199">
        <f>+'Exhibit F'!H64+'Exhibit G'!H45</f>
        <v>700.69999999999982</v>
      </c>
      <c r="H68" s="199"/>
      <c r="I68" s="199">
        <f>+'Exhibit F'!J64+'Exhibit G'!J45</f>
        <v>692.30000000000007</v>
      </c>
      <c r="J68" s="199"/>
      <c r="K68" s="199">
        <f>+'Exhibit F'!L64+'Exhibit G'!L45</f>
        <v>603.50000000000034</v>
      </c>
      <c r="L68" s="199"/>
      <c r="M68" s="199">
        <f>+'Exhibit F'!N64+'Exhibit G'!N45</f>
        <v>680.49999999999977</v>
      </c>
      <c r="N68" s="199"/>
      <c r="O68" s="199">
        <f>+'Exhibit F'!P64+'Exhibit G'!P45</f>
        <v>721.59999999999968</v>
      </c>
      <c r="P68" s="199"/>
      <c r="Q68" s="199">
        <f>+'Exhibit F'!R64+'Exhibit G'!R45</f>
        <v>657.4000000000002</v>
      </c>
      <c r="R68" s="199"/>
      <c r="S68" s="199">
        <f>+'Exhibit F'!T64+'Exhibit G'!T45</f>
        <v>745.00000000000023</v>
      </c>
      <c r="T68" s="199"/>
      <c r="U68" s="199">
        <f>+'Exhibit F'!V64+'Exhibit G'!V45</f>
        <v>506.59999999999945</v>
      </c>
      <c r="V68" s="199"/>
      <c r="W68" s="199">
        <f>+'Exhibit F'!X64+'Exhibit G'!X45</f>
        <v>719.1</v>
      </c>
      <c r="X68" s="199"/>
      <c r="Y68" s="199"/>
      <c r="Z68" s="199"/>
      <c r="AA68" s="200"/>
      <c r="AB68" s="199">
        <f t="shared" si="14"/>
        <v>7315.8</v>
      </c>
      <c r="AC68" s="199"/>
      <c r="AD68" s="882"/>
      <c r="AE68" s="199">
        <f>+'Exhibit F'!AF64+'Exhibit G'!AH45+'Exhibit H'!AD34</f>
        <v>6933.9</v>
      </c>
      <c r="AF68" s="1629"/>
      <c r="AG68" s="199"/>
      <c r="AH68" s="199">
        <f t="shared" si="15"/>
        <v>381.9</v>
      </c>
      <c r="AI68" s="66"/>
      <c r="AJ68" s="384">
        <f>ROUND(IF(AE68=0,0,AH68/ABS(AE68)),3)</f>
        <v>5.5E-2</v>
      </c>
    </row>
    <row r="69" spans="1:36" ht="16.5" customHeight="1">
      <c r="A69" s="360" t="s">
        <v>397</v>
      </c>
      <c r="B69" s="360"/>
      <c r="C69" s="199">
        <f>+'Exhibit F'!D65+'Exhibit G'!D46</f>
        <v>3.7</v>
      </c>
      <c r="D69" s="199"/>
      <c r="E69" s="199">
        <f>+'Exhibit F'!F65+'Exhibit G'!F46</f>
        <v>-0.10000000000000009</v>
      </c>
      <c r="F69" s="199"/>
      <c r="G69" s="199">
        <f>+'Exhibit F'!H65+'Exhibit G'!H46</f>
        <v>0.89999999999999991</v>
      </c>
      <c r="H69" s="199"/>
      <c r="I69" s="199">
        <f>+'Exhibit F'!J65+'Exhibit G'!J46</f>
        <v>0</v>
      </c>
      <c r="J69" s="199"/>
      <c r="K69" s="199">
        <f>+'Exhibit F'!L65+'Exhibit G'!L46</f>
        <v>9.9999999999999645E-2</v>
      </c>
      <c r="L69" s="199"/>
      <c r="M69" s="199">
        <f>+'Exhibit F'!N65+'Exhibit G'!N46</f>
        <v>57.4</v>
      </c>
      <c r="N69" s="199"/>
      <c r="O69" s="199">
        <f>+'Exhibit F'!P65+'Exhibit G'!P46</f>
        <v>-13.199999999999996</v>
      </c>
      <c r="P69" s="199"/>
      <c r="Q69" s="199">
        <f>+'Exhibit F'!R65+'Exhibit G'!R46</f>
        <v>-1.5000000000000071</v>
      </c>
      <c r="R69" s="199"/>
      <c r="S69" s="199">
        <f>+'Exhibit F'!T65+'Exhibit G'!T46</f>
        <v>0.70000000000000284</v>
      </c>
      <c r="T69" s="199"/>
      <c r="U69" s="199">
        <f>+'Exhibit F'!V65+'Exhibit G'!V46</f>
        <v>-0.39999999999999858</v>
      </c>
      <c r="V69" s="199"/>
      <c r="W69" s="199">
        <f>+'Exhibit F'!X65+'Exhibit G'!X46</f>
        <v>0.10000000000000142</v>
      </c>
      <c r="X69" s="199"/>
      <c r="Y69" s="199"/>
      <c r="Z69" s="199"/>
      <c r="AA69" s="200"/>
      <c r="AB69" s="199">
        <f t="shared" si="14"/>
        <v>47.7</v>
      </c>
      <c r="AC69" s="199"/>
      <c r="AD69" s="882"/>
      <c r="AE69" s="199">
        <f>+'Exhibit F'!AF65+'Exhibit G'!AH46</f>
        <v>29.5</v>
      </c>
      <c r="AF69" s="1629"/>
      <c r="AG69" s="199"/>
      <c r="AH69" s="199">
        <f t="shared" si="15"/>
        <v>18.2</v>
      </c>
      <c r="AI69" s="66"/>
      <c r="AJ69" s="880">
        <f>ROUND(IF(AE69=0,0,AH69/ABS(AE69)),3)</f>
        <v>0.61699999999999999</v>
      </c>
    </row>
    <row r="70" spans="1:36" ht="16.5" customHeight="1">
      <c r="A70" s="360" t="s">
        <v>398</v>
      </c>
      <c r="B70" s="360"/>
      <c r="C70" s="199">
        <f>+'Exhibit F'!D66+'Exhibit G'!D47</f>
        <v>0.1</v>
      </c>
      <c r="D70" s="199"/>
      <c r="E70" s="199">
        <f>+'Exhibit F'!F66+'Exhibit G'!F47</f>
        <v>0</v>
      </c>
      <c r="F70" s="199"/>
      <c r="G70" s="199">
        <f>+'Exhibit F'!H66+'Exhibit G'!H47</f>
        <v>0</v>
      </c>
      <c r="H70" s="199"/>
      <c r="I70" s="199">
        <f>+'Exhibit F'!J66+'Exhibit G'!J47</f>
        <v>0</v>
      </c>
      <c r="J70" s="199"/>
      <c r="K70" s="199">
        <f>+'Exhibit F'!L66+'Exhibit G'!L47</f>
        <v>0</v>
      </c>
      <c r="L70" s="199"/>
      <c r="M70" s="199">
        <f>+'Exhibit F'!N66+'Exhibit G'!N47</f>
        <v>0.1</v>
      </c>
      <c r="N70" s="199"/>
      <c r="O70" s="199">
        <f>+'Exhibit F'!P66+'Exhibit G'!P47</f>
        <v>0</v>
      </c>
      <c r="P70" s="199"/>
      <c r="Q70" s="199">
        <f>+'Exhibit F'!R66+'Exhibit G'!R47</f>
        <v>0</v>
      </c>
      <c r="R70" s="199"/>
      <c r="S70" s="199">
        <f>+'Exhibit F'!T66+'Exhibit G'!T47</f>
        <v>0</v>
      </c>
      <c r="T70" s="199"/>
      <c r="U70" s="199">
        <f>+'Exhibit F'!V66+'Exhibit G'!V47</f>
        <v>0.19999999999999998</v>
      </c>
      <c r="V70" s="199"/>
      <c r="W70" s="199">
        <f>+'Exhibit F'!X66+'Exhibit G'!X47</f>
        <v>0</v>
      </c>
      <c r="X70" s="199"/>
      <c r="Y70" s="199"/>
      <c r="Z70" s="199"/>
      <c r="AA70" s="200"/>
      <c r="AB70" s="199">
        <f t="shared" si="14"/>
        <v>0.4</v>
      </c>
      <c r="AC70" s="199"/>
      <c r="AD70" s="882"/>
      <c r="AE70" s="199">
        <f>+'Exhibit F'!AF66+'Exhibit G'!AH47</f>
        <v>0.8</v>
      </c>
      <c r="AF70" s="1629"/>
      <c r="AG70" s="199"/>
      <c r="AH70" s="199">
        <f t="shared" si="15"/>
        <v>-0.4</v>
      </c>
      <c r="AI70" s="66"/>
      <c r="AJ70" s="276">
        <f>ROUND(IF(AE70=0,1,AH70/ABS(AE70)),3)</f>
        <v>-0.5</v>
      </c>
    </row>
    <row r="71" spans="1:36" ht="16.5" customHeight="1">
      <c r="A71" s="360" t="s">
        <v>399</v>
      </c>
      <c r="B71" s="360"/>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629"/>
      <c r="AG71" s="199"/>
      <c r="AH71" s="199"/>
      <c r="AI71" s="66"/>
      <c r="AJ71" s="276"/>
    </row>
    <row r="72" spans="1:36" ht="16.5" customHeight="1">
      <c r="A72" s="360" t="s">
        <v>400</v>
      </c>
      <c r="B72" s="360"/>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f>+'Exhibit F'!X68+'Exhibit H'!V36</f>
        <v>4.7999999999999972</v>
      </c>
      <c r="X72" s="199"/>
      <c r="Y72" s="199"/>
      <c r="Z72" s="199"/>
      <c r="AA72" s="200"/>
      <c r="AB72" s="199">
        <f t="shared" si="14"/>
        <v>54.3</v>
      </c>
      <c r="AC72" s="199"/>
      <c r="AD72" s="882"/>
      <c r="AE72" s="199">
        <f>+'Exhibit F'!AF68+'Exhibit H'!AD36</f>
        <v>54.7</v>
      </c>
      <c r="AF72" s="1629"/>
      <c r="AG72" s="199"/>
      <c r="AH72" s="199">
        <f t="shared" si="15"/>
        <v>-0.4</v>
      </c>
      <c r="AI72" s="66"/>
      <c r="AJ72" s="276">
        <f t="shared" ref="AJ72:AJ79" si="16">ROUND(IF(AE72=0,0,AH72/ABS(AE72)),3)</f>
        <v>-7.0000000000000001E-3</v>
      </c>
    </row>
    <row r="73" spans="1:36" ht="16.5" customHeight="1">
      <c r="A73" s="360" t="s">
        <v>401</v>
      </c>
      <c r="B73" s="360"/>
      <c r="C73" s="199">
        <f>'Exhibit G'!D49</f>
        <v>0</v>
      </c>
      <c r="D73" s="199"/>
      <c r="E73" s="199">
        <f>'Exhibit G'!F49</f>
        <v>0.1</v>
      </c>
      <c r="F73" s="199"/>
      <c r="G73" s="199">
        <f>'Exhibit G'!H49</f>
        <v>0.8</v>
      </c>
      <c r="H73" s="199"/>
      <c r="I73" s="199">
        <f>'Exhibit G'!J49</f>
        <v>1.3999999999999997</v>
      </c>
      <c r="J73" s="199"/>
      <c r="K73" s="199">
        <f>'Exhibit G'!L49</f>
        <v>0.20000000000000018</v>
      </c>
      <c r="L73" s="199"/>
      <c r="M73" s="199">
        <f>'Exhibit G'!N49</f>
        <v>0</v>
      </c>
      <c r="N73" s="199"/>
      <c r="O73" s="199">
        <f>'Exhibit G'!P49</f>
        <v>0</v>
      </c>
      <c r="P73" s="199"/>
      <c r="Q73" s="199">
        <f>'Exhibit G'!R49</f>
        <v>0</v>
      </c>
      <c r="R73" s="199"/>
      <c r="S73" s="199">
        <f>'Exhibit G'!T49</f>
        <v>0</v>
      </c>
      <c r="T73" s="199"/>
      <c r="U73" s="199">
        <f>'Exhibit G'!V49</f>
        <v>0</v>
      </c>
      <c r="V73" s="199"/>
      <c r="W73" s="199">
        <f>'Exhibit G'!X49</f>
        <v>0</v>
      </c>
      <c r="X73" s="199"/>
      <c r="Y73" s="199"/>
      <c r="Z73" s="199"/>
      <c r="AA73" s="402"/>
      <c r="AB73" s="199">
        <f t="shared" si="14"/>
        <v>2.5</v>
      </c>
      <c r="AC73" s="199"/>
      <c r="AD73" s="882"/>
      <c r="AE73" s="199">
        <f>'Exhibit G'!AH49</f>
        <v>2.7</v>
      </c>
      <c r="AF73" s="1629"/>
      <c r="AG73" s="199"/>
      <c r="AH73" s="199">
        <f>ROUND(SUM(AB73-AE73),1)</f>
        <v>-0.2</v>
      </c>
      <c r="AI73" s="66"/>
      <c r="AJ73" s="276">
        <f>ROUND(IF(AE73=0,1,AH73/ABS(AE73)),3)</f>
        <v>-7.3999999999999996E-2</v>
      </c>
    </row>
    <row r="74" spans="1:36" ht="16.5" customHeight="1">
      <c r="A74" s="360" t="s">
        <v>402</v>
      </c>
      <c r="B74" s="360"/>
      <c r="C74" s="199">
        <f>+'Exhibit F'!D70+'Exhibit G'!D50+'Exhibit I'!E39+'Exhibit H'!B37</f>
        <v>65.3</v>
      </c>
      <c r="D74" s="199"/>
      <c r="E74" s="199">
        <f>+'Exhibit F'!F70+'Exhibit G'!F50+'Exhibit I'!G39+'Exhibit H'!D37</f>
        <v>48.099999999999994</v>
      </c>
      <c r="F74" s="199"/>
      <c r="G74" s="199">
        <f>+'Exhibit F'!H70+'Exhibit G'!H50+'Exhibit I'!I39+'Exhibit H'!F37</f>
        <v>114.7</v>
      </c>
      <c r="H74" s="199"/>
      <c r="I74" s="199">
        <f>+'Exhibit F'!J70+'Exhibit G'!J50+'Exhibit I'!K39+'Exhibit H'!H37</f>
        <v>91.600000000000009</v>
      </c>
      <c r="J74" s="199"/>
      <c r="K74" s="199">
        <f>+'Exhibit F'!L70+'Exhibit G'!L50+'Exhibit I'!M39+'Exhibit H'!J37</f>
        <v>76.400000000000034</v>
      </c>
      <c r="L74" s="199"/>
      <c r="M74" s="199">
        <f>+'Exhibit F'!N70+'Exhibit G'!N50+'Exhibit I'!O39+'Exhibit H'!L37</f>
        <v>122.80000000000001</v>
      </c>
      <c r="N74" s="199"/>
      <c r="O74" s="199">
        <f>+'Exhibit F'!P70+'Exhibit G'!P50+'Exhibit I'!Q39+'Exhibit H'!N37</f>
        <v>73.199999999999932</v>
      </c>
      <c r="P74" s="199"/>
      <c r="Q74" s="199">
        <f>+'Exhibit F'!R70+'Exhibit G'!R50+'Exhibit I'!S39+'Exhibit H'!P37</f>
        <v>52.599999999999966</v>
      </c>
      <c r="R74" s="199"/>
      <c r="S74" s="199">
        <f>+'Exhibit F'!T70+'Exhibit G'!T50+'Exhibit I'!U39+'Exhibit H'!R37</f>
        <v>126.8</v>
      </c>
      <c r="T74" s="199"/>
      <c r="U74" s="199">
        <f>+'Exhibit F'!V70+'Exhibit G'!V50+'Exhibit I'!W39+'Exhibit H'!T37</f>
        <v>126.00000000000003</v>
      </c>
      <c r="V74" s="199"/>
      <c r="W74" s="199">
        <f>+'Exhibit F'!X70+'Exhibit G'!X50+'Exhibit I'!Y39+'Exhibit H'!V37</f>
        <v>47.400000000000048</v>
      </c>
      <c r="X74" s="199"/>
      <c r="Y74" s="199"/>
      <c r="Z74" s="199"/>
      <c r="AA74" s="200"/>
      <c r="AB74" s="199">
        <f t="shared" si="14"/>
        <v>944.9</v>
      </c>
      <c r="AC74" s="199"/>
      <c r="AD74" s="882"/>
      <c r="AE74" s="274">
        <f>+'Exhibit F'!AF70+'Exhibit G'!AH50+'Exhibit I'!AI39+'Exhibit H'!AD37</f>
        <v>922.19999999999993</v>
      </c>
      <c r="AF74" s="1629"/>
      <c r="AG74" s="199"/>
      <c r="AH74" s="199">
        <f>ROUND(SUM(AB74-AE74),1)</f>
        <v>22.7</v>
      </c>
      <c r="AI74" s="66"/>
      <c r="AJ74" s="276">
        <f>ROUND(IF(AE74=0,1,AH74/ABS(AE74)),3)</f>
        <v>2.5000000000000001E-2</v>
      </c>
    </row>
    <row r="75" spans="1:36" ht="16.5" customHeight="1">
      <c r="A75" s="360" t="s">
        <v>403</v>
      </c>
      <c r="B75" s="360"/>
      <c r="C75" s="199">
        <f>+'Exhibit F'!D71+'Exhibit G'!D51+'Exhibit H'!B38</f>
        <v>20.5</v>
      </c>
      <c r="D75" s="199"/>
      <c r="E75" s="199">
        <f>+'Exhibit F'!F71+'Exhibit G'!F51+'Exhibit H'!D38</f>
        <v>12.100000000000003</v>
      </c>
      <c r="F75" s="199"/>
      <c r="G75" s="199">
        <f>+'Exhibit F'!H71+'Exhibit G'!H51+'Exhibit H'!F38</f>
        <v>33.299999999999997</v>
      </c>
      <c r="H75" s="199"/>
      <c r="I75" s="199">
        <f>+'Exhibit F'!J71+'Exhibit G'!J51+'Exhibit H'!H38</f>
        <v>21.9</v>
      </c>
      <c r="J75" s="199"/>
      <c r="K75" s="199">
        <f>+'Exhibit F'!L71+'Exhibit G'!L51+'Exhibit H'!J38</f>
        <v>17.29999999999999</v>
      </c>
      <c r="L75" s="199"/>
      <c r="M75" s="199">
        <f>+'Exhibit F'!N71+'Exhibit G'!N51+'Exhibit H'!L38</f>
        <v>28.200000000000017</v>
      </c>
      <c r="N75" s="199"/>
      <c r="O75" s="199">
        <f>+'Exhibit F'!P71+'Exhibit G'!P51+'Exhibit H'!N38</f>
        <v>20.79999999999999</v>
      </c>
      <c r="P75" s="199"/>
      <c r="Q75" s="199">
        <f>+'Exhibit F'!R71+'Exhibit G'!R51+'Exhibit H'!P38</f>
        <v>25.499999999999986</v>
      </c>
      <c r="R75" s="199"/>
      <c r="S75" s="199">
        <f>+'Exhibit F'!T71+'Exhibit G'!T51+'Exhibit H'!R38</f>
        <v>7.3000000000000043</v>
      </c>
      <c r="T75" s="199"/>
      <c r="U75" s="199">
        <f>+'Exhibit F'!V71+'Exhibit G'!V51+'Exhibit H'!T38</f>
        <v>57.900000000000013</v>
      </c>
      <c r="V75" s="199"/>
      <c r="W75" s="199">
        <f>+'Exhibit F'!X71+'Exhibit G'!X51+'Exhibit H'!V38</f>
        <v>21.400000000000006</v>
      </c>
      <c r="X75" s="199"/>
      <c r="Y75" s="199"/>
      <c r="Z75" s="199"/>
      <c r="AA75" s="200"/>
      <c r="AB75" s="199">
        <f t="shared" si="14"/>
        <v>266.2</v>
      </c>
      <c r="AC75" s="199"/>
      <c r="AD75" s="882"/>
      <c r="AE75" s="199">
        <f>+'Exhibit F'!AF71+'Exhibit G'!AH51+'Exhibit H'!AD38+'Exhibit I'!AI40</f>
        <v>255</v>
      </c>
      <c r="AF75" s="1629"/>
      <c r="AG75" s="199"/>
      <c r="AH75" s="199">
        <f t="shared" si="15"/>
        <v>11.2</v>
      </c>
      <c r="AI75" s="66"/>
      <c r="AJ75" s="276">
        <f t="shared" si="16"/>
        <v>4.3999999999999997E-2</v>
      </c>
    </row>
    <row r="76" spans="1:36" ht="16.5" customHeight="1">
      <c r="A76" s="360" t="s">
        <v>404</v>
      </c>
      <c r="B76" s="360"/>
      <c r="C76" s="199">
        <f>+'Exhibit F'!D72+'Exhibit G'!D52+'Exhibit H'!B39</f>
        <v>0.30000000000000004</v>
      </c>
      <c r="D76" s="199"/>
      <c r="E76" s="199">
        <f>+'Exhibit F'!F72+'Exhibit G'!F52+'Exhibit H'!D39</f>
        <v>0.4</v>
      </c>
      <c r="F76" s="199"/>
      <c r="G76" s="199">
        <f>+'Exhibit F'!H72+'Exhibit G'!H52+'Exhibit H'!F39</f>
        <v>0.70000000000000007</v>
      </c>
      <c r="H76" s="199"/>
      <c r="I76" s="199">
        <f>+'Exhibit F'!J72+'Exhibit G'!J52+'Exhibit H'!H39</f>
        <v>0</v>
      </c>
      <c r="J76" s="199"/>
      <c r="K76" s="199">
        <f>+'Exhibit F'!L72+'Exhibit G'!L52+'Exhibit H'!J39</f>
        <v>0.5</v>
      </c>
      <c r="L76" s="199"/>
      <c r="M76" s="199">
        <f>+'Exhibit F'!N72+'Exhibit G'!N52+'Exhibit H'!L39</f>
        <v>0.70000000000000007</v>
      </c>
      <c r="N76" s="199"/>
      <c r="O76" s="199">
        <f>+'Exhibit F'!P72+'Exhibit G'!P52+'Exhibit H'!N39</f>
        <v>0.3999999999999998</v>
      </c>
      <c r="P76" s="199"/>
      <c r="Q76" s="199">
        <f>+'Exhibit F'!R72+'Exhibit G'!R52+'Exhibit H'!P39</f>
        <v>1.1000000000000001</v>
      </c>
      <c r="R76" s="199"/>
      <c r="S76" s="199">
        <f>+'Exhibit F'!T72+'Exhibit G'!T52+'Exhibit H'!R39</f>
        <v>0.20000000000000018</v>
      </c>
      <c r="T76" s="199"/>
      <c r="U76" s="199">
        <f>+'Exhibit F'!V72+'Exhibit G'!V52+'Exhibit H'!T39</f>
        <v>0.3999999999999998</v>
      </c>
      <c r="V76" s="199"/>
      <c r="W76" s="199">
        <f>+'Exhibit F'!X72+'Exhibit G'!X52+'Exhibit H'!V39</f>
        <v>0.20000000000000007</v>
      </c>
      <c r="X76" s="199"/>
      <c r="Y76" s="199"/>
      <c r="Z76" s="199"/>
      <c r="AA76" s="200"/>
      <c r="AB76" s="199">
        <f t="shared" si="14"/>
        <v>4.9000000000000004</v>
      </c>
      <c r="AC76" s="199"/>
      <c r="AD76" s="882"/>
      <c r="AE76" s="199">
        <f>+'Exhibit F'!AF72+'Exhibit G'!AH52+'Exhibit H'!AD39</f>
        <v>6.5</v>
      </c>
      <c r="AF76" s="1629"/>
      <c r="AG76" s="199"/>
      <c r="AH76" s="199">
        <f t="shared" si="15"/>
        <v>-1.6</v>
      </c>
      <c r="AI76" s="66"/>
      <c r="AJ76" s="276">
        <f>ROUND(IF(AE76=0,0,AH76/ABS(AE76)),3)</f>
        <v>-0.246</v>
      </c>
    </row>
    <row r="77" spans="1:36" ht="16.5" customHeight="1">
      <c r="A77" s="360" t="s">
        <v>405</v>
      </c>
      <c r="B77" s="360"/>
      <c r="C77" s="199">
        <f>+'Exhibit F'!D73+'Exhibit G'!D53+'Exhibit I'!E41+'Exhibit H'!B40</f>
        <v>109.8</v>
      </c>
      <c r="D77" s="199"/>
      <c r="E77" s="199">
        <f>+'Exhibit F'!F73+'Exhibit G'!F53+'Exhibit I'!G41+'Exhibit H'!D40</f>
        <v>131.30000000000001</v>
      </c>
      <c r="F77" s="199"/>
      <c r="G77" s="199">
        <f>+'Exhibit F'!H73+'Exhibit G'!H53+'Exhibit I'!I41+'Exhibit H'!F40</f>
        <v>86.700000000000017</v>
      </c>
      <c r="H77" s="199"/>
      <c r="I77" s="199">
        <f>+'Exhibit F'!J73+'Exhibit G'!J53+'Exhibit I'!K41+'Exhibit H'!H40</f>
        <v>138.79999999999995</v>
      </c>
      <c r="J77" s="199"/>
      <c r="K77" s="199">
        <f>+'Exhibit F'!L73+'Exhibit G'!L53+'Exhibit I'!M41+'Exhibit H'!J40</f>
        <v>95.500000000000028</v>
      </c>
      <c r="L77" s="199"/>
      <c r="M77" s="199">
        <f>+'Exhibit F'!N73+'Exhibit G'!N53+'Exhibit I'!O41+'Exhibit H'!L40</f>
        <v>84.500000000000028</v>
      </c>
      <c r="N77" s="199"/>
      <c r="O77" s="199">
        <f>+'Exhibit F'!P73+'Exhibit G'!P53+'Exhibit I'!Q41+'Exhibit H'!N40</f>
        <v>120.29999999999998</v>
      </c>
      <c r="P77" s="199"/>
      <c r="Q77" s="199">
        <f>+'Exhibit F'!R73+'Exhibit G'!R53+'Exhibit I'!S41+'Exhibit H'!P40</f>
        <v>83.099999999999966</v>
      </c>
      <c r="R77" s="199"/>
      <c r="S77" s="199">
        <f>+'Exhibit F'!T73+'Exhibit G'!T53+'Exhibit I'!U41+'Exhibit H'!R40</f>
        <v>96.499999999999972</v>
      </c>
      <c r="T77" s="199"/>
      <c r="U77" s="199">
        <f>+'Exhibit F'!V73+'Exhibit G'!V53+'Exhibit I'!W41+'Exhibit H'!T40</f>
        <v>112.29999999999998</v>
      </c>
      <c r="V77" s="199"/>
      <c r="W77" s="199">
        <f>+'Exhibit F'!X73+'Exhibit G'!X53+'Exhibit I'!Y41+'Exhibit H'!V40</f>
        <v>75.600000000000051</v>
      </c>
      <c r="X77" s="199"/>
      <c r="Y77" s="199"/>
      <c r="Z77" s="199"/>
      <c r="AA77" s="200"/>
      <c r="AB77" s="199">
        <f t="shared" si="14"/>
        <v>1134.4000000000001</v>
      </c>
      <c r="AC77" s="199"/>
      <c r="AD77" s="882"/>
      <c r="AE77" s="199">
        <f>+'Exhibit F'!AF73+'Exhibit G'!AH53+'Exhibit I'!AI41+'Exhibit H'!AD40</f>
        <v>1114.3</v>
      </c>
      <c r="AF77" s="1629"/>
      <c r="AG77" s="199"/>
      <c r="AH77" s="199">
        <f t="shared" si="15"/>
        <v>20.100000000000001</v>
      </c>
      <c r="AI77" s="66"/>
      <c r="AJ77" s="276">
        <f t="shared" si="16"/>
        <v>1.7999999999999999E-2</v>
      </c>
    </row>
    <row r="78" spans="1:36" ht="16.5" customHeight="1">
      <c r="A78" s="360" t="s">
        <v>406</v>
      </c>
      <c r="B78" s="360"/>
      <c r="C78" s="199">
        <f>+'Exhibit F'!D74+'Exhibit G'!D54+'Exhibit I'!E42+'Exhibit H'!B41</f>
        <v>60.099999999999994</v>
      </c>
      <c r="D78" s="199"/>
      <c r="E78" s="199">
        <f>+'Exhibit F'!F74+'Exhibit G'!F54+'Exhibit I'!G42+'Exhibit H'!D41</f>
        <v>47.599999999999994</v>
      </c>
      <c r="F78" s="199"/>
      <c r="G78" s="199">
        <f>+'Exhibit F'!H74+'Exhibit G'!H54+'Exhibit I'!I42+'Exhibit H'!F41</f>
        <v>83</v>
      </c>
      <c r="H78" s="199"/>
      <c r="I78" s="199">
        <f>+'Exhibit F'!J74+'Exhibit G'!J54+'Exhibit I'!K42+'Exhibit H'!H41</f>
        <v>53.799999999999976</v>
      </c>
      <c r="J78" s="199"/>
      <c r="K78" s="199">
        <f>+'Exhibit F'!L74+'Exhibit G'!L54+'Exhibit I'!M42+'Exhibit H'!J41</f>
        <v>96.599999999999966</v>
      </c>
      <c r="L78" s="199"/>
      <c r="M78" s="199">
        <f>+'Exhibit F'!N74+'Exhibit G'!N54+'Exhibit I'!O42+'Exhibit H'!L41</f>
        <v>155</v>
      </c>
      <c r="N78" s="199"/>
      <c r="O78" s="199">
        <f>+'Exhibit F'!P74+'Exhibit G'!P54+'Exhibit I'!Q42+'Exhibit H'!N41</f>
        <v>102.49999999999999</v>
      </c>
      <c r="P78" s="199"/>
      <c r="Q78" s="199">
        <f>+'Exhibit F'!R74+'Exhibit G'!R54+'Exhibit I'!S42+'Exhibit H'!P41</f>
        <v>83.000000000000057</v>
      </c>
      <c r="R78" s="199"/>
      <c r="S78" s="199">
        <f>+'Exhibit F'!T74+'Exhibit G'!T54+'Exhibit I'!U42+'Exhibit H'!R41</f>
        <v>36.199999999999974</v>
      </c>
      <c r="T78" s="199"/>
      <c r="U78" s="199">
        <f>+'Exhibit F'!V74+'Exhibit G'!V54+'Exhibit I'!W42+'Exhibit H'!T41</f>
        <v>173.79999999999995</v>
      </c>
      <c r="V78" s="199"/>
      <c r="W78" s="199">
        <f>+'Exhibit F'!X74+'Exhibit G'!X54+'Exhibit I'!Y42+'Exhibit H'!V41</f>
        <v>129.10000000000008</v>
      </c>
      <c r="X78" s="199"/>
      <c r="Y78" s="199"/>
      <c r="Z78" s="199"/>
      <c r="AA78" s="200"/>
      <c r="AB78" s="199">
        <f t="shared" si="14"/>
        <v>1020.7</v>
      </c>
      <c r="AC78" s="199"/>
      <c r="AD78" s="882"/>
      <c r="AE78" s="199">
        <f>+'Exhibit F'!AF74+'Exhibit G'!AH54+'Exhibit I'!AI42+'Exhibit H'!AD41</f>
        <v>1030.3000000000002</v>
      </c>
      <c r="AF78" s="1629"/>
      <c r="AG78" s="199"/>
      <c r="AH78" s="199">
        <f t="shared" si="15"/>
        <v>-9.6</v>
      </c>
      <c r="AI78" s="66"/>
      <c r="AJ78" s="276">
        <f t="shared" si="16"/>
        <v>-8.9999999999999993E-3</v>
      </c>
    </row>
    <row r="79" spans="1:36" ht="16.5" customHeight="1">
      <c r="A79" s="360" t="s">
        <v>407</v>
      </c>
      <c r="B79" s="360"/>
      <c r="C79" s="199">
        <f>+'Exhibit F'!D75+'Exhibit G'!D55+'Exhibit I'!E43</f>
        <v>47.7</v>
      </c>
      <c r="D79" s="199"/>
      <c r="E79" s="199">
        <f>+'Exhibit F'!F75+'Exhibit G'!F55+'Exhibit I'!G43</f>
        <v>42.8</v>
      </c>
      <c r="F79" s="199"/>
      <c r="G79" s="199">
        <f>+'Exhibit F'!H75+'Exhibit G'!H55+'Exhibit I'!I43</f>
        <v>33.800000000000004</v>
      </c>
      <c r="H79" s="199"/>
      <c r="I79" s="199">
        <f>+'Exhibit F'!J75+'Exhibit G'!J55+'Exhibit I'!K43</f>
        <v>16.300000000000004</v>
      </c>
      <c r="J79" s="199"/>
      <c r="K79" s="199">
        <f>+'Exhibit F'!L75+'Exhibit G'!L55+'Exhibit I'!M43</f>
        <v>70.099999999999994</v>
      </c>
      <c r="L79" s="199"/>
      <c r="M79" s="199">
        <f>+'Exhibit F'!N75+'Exhibit G'!N55+'Exhibit I'!O43</f>
        <v>43.90000000000002</v>
      </c>
      <c r="N79" s="199"/>
      <c r="O79" s="199">
        <f>+'Exhibit F'!P75+'Exhibit G'!P55+'Exhibit I'!Q43</f>
        <v>50.09999999999998</v>
      </c>
      <c r="P79" s="199"/>
      <c r="Q79" s="199">
        <f>+'Exhibit F'!R75+'Exhibit G'!R55+'Exhibit I'!S43</f>
        <v>48.300000000000011</v>
      </c>
      <c r="R79" s="199"/>
      <c r="S79" s="199">
        <f>+'Exhibit F'!T75+'Exhibit G'!T55+'Exhibit I'!U43</f>
        <v>31.499999999999982</v>
      </c>
      <c r="T79" s="199"/>
      <c r="U79" s="199">
        <f>+'Exhibit F'!V75+'Exhibit G'!V55+'Exhibit I'!W43</f>
        <v>47.300000000000004</v>
      </c>
      <c r="V79" s="199"/>
      <c r="W79" s="199">
        <f>+'Exhibit F'!X75+'Exhibit G'!X55+'Exhibit I'!Y43</f>
        <v>22.999999999999993</v>
      </c>
      <c r="X79" s="199"/>
      <c r="Y79" s="199"/>
      <c r="Z79" s="199"/>
      <c r="AA79" s="200"/>
      <c r="AB79" s="199">
        <f t="shared" si="14"/>
        <v>454.8</v>
      </c>
      <c r="AC79" s="199"/>
      <c r="AD79" s="882"/>
      <c r="AE79" s="199">
        <f>+'Exhibit F'!AF75+'Exhibit G'!AH55+'Exhibit I'!AI43</f>
        <v>492.5</v>
      </c>
      <c r="AF79" s="1629"/>
      <c r="AG79" s="199"/>
      <c r="AH79" s="199">
        <f t="shared" si="15"/>
        <v>-37.700000000000003</v>
      </c>
      <c r="AI79" s="66"/>
      <c r="AJ79" s="276">
        <f t="shared" si="16"/>
        <v>-7.6999999999999999E-2</v>
      </c>
    </row>
    <row r="80" spans="1:36" ht="16.5" customHeight="1">
      <c r="A80" s="360" t="s">
        <v>408</v>
      </c>
      <c r="B80" s="360"/>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629"/>
      <c r="AG80" s="199"/>
      <c r="AH80" s="199"/>
      <c r="AI80" s="66"/>
      <c r="AJ80" s="276"/>
    </row>
    <row r="81" spans="1:37" ht="16.5" customHeight="1">
      <c r="A81" s="360" t="s">
        <v>409</v>
      </c>
      <c r="B81" s="360"/>
      <c r="C81" s="199">
        <f>+'Exhibit G'!D57</f>
        <v>42.2</v>
      </c>
      <c r="D81" s="199"/>
      <c r="E81" s="199">
        <f>+'Exhibit G'!F57</f>
        <v>16.299999999999997</v>
      </c>
      <c r="F81" s="199"/>
      <c r="G81" s="199">
        <f>+'Exhibit G'!H57</f>
        <v>13</v>
      </c>
      <c r="H81" s="199"/>
      <c r="I81" s="199">
        <f>+'Exhibit G'!J57</f>
        <v>38.900000000000006</v>
      </c>
      <c r="J81" s="199"/>
      <c r="K81" s="199">
        <f>+'Exhibit G'!L57</f>
        <v>14</v>
      </c>
      <c r="L81" s="199"/>
      <c r="M81" s="199">
        <f>+'Exhibit G'!N57</f>
        <v>13.199999999999989</v>
      </c>
      <c r="N81" s="199"/>
      <c r="O81" s="199">
        <f>+'Exhibit G'!P57</f>
        <v>43.200000000000017</v>
      </c>
      <c r="P81" s="199"/>
      <c r="Q81" s="199">
        <f>+'Exhibit G'!R57</f>
        <v>12.699999999999989</v>
      </c>
      <c r="R81" s="199"/>
      <c r="S81" s="199">
        <f>+'Exhibit G'!T57</f>
        <v>13.5</v>
      </c>
      <c r="T81" s="199"/>
      <c r="U81" s="199">
        <f>+'Exhibit G'!V57</f>
        <v>38.800000000000011</v>
      </c>
      <c r="V81" s="199"/>
      <c r="W81" s="199">
        <f>+'Exhibit G'!X57</f>
        <v>12.199999999999989</v>
      </c>
      <c r="X81" s="199"/>
      <c r="Y81" s="199"/>
      <c r="Z81" s="199"/>
      <c r="AA81" s="200"/>
      <c r="AB81" s="199">
        <f t="shared" ref="AB81:AB86" si="17">ROUND(SUM(C81:Y81),1)</f>
        <v>258</v>
      </c>
      <c r="AC81" s="199"/>
      <c r="AD81" s="882"/>
      <c r="AE81" s="199">
        <f>+'Exhibit G'!AH57</f>
        <v>343.9</v>
      </c>
      <c r="AF81" s="1629"/>
      <c r="AG81" s="199"/>
      <c r="AH81" s="199">
        <f t="shared" ref="AH81:AH86" si="18">ROUND(SUM(AB81-AE81),1)</f>
        <v>-85.9</v>
      </c>
      <c r="AI81" s="66"/>
      <c r="AJ81" s="553">
        <f>ROUND(IF(AE81=0,1,AH81/ABS(AE81)),3)</f>
        <v>-0.25</v>
      </c>
    </row>
    <row r="82" spans="1:37" ht="16.5" customHeight="1">
      <c r="A82" s="360" t="s">
        <v>410</v>
      </c>
      <c r="B82" s="360"/>
      <c r="C82" s="199">
        <f>+'Exhibit G'!D58</f>
        <v>205.3</v>
      </c>
      <c r="D82" s="199"/>
      <c r="E82" s="199">
        <f>+'Exhibit G'!F58</f>
        <v>227.2</v>
      </c>
      <c r="F82" s="199"/>
      <c r="G82" s="199">
        <f>+'Exhibit G'!H58</f>
        <v>179.20000000000005</v>
      </c>
      <c r="H82" s="199"/>
      <c r="I82" s="199">
        <f>+'Exhibit G'!J58</f>
        <v>217.8</v>
      </c>
      <c r="J82" s="199"/>
      <c r="K82" s="199">
        <f>+'Exhibit G'!L58</f>
        <v>177.39999999999981</v>
      </c>
      <c r="L82" s="199"/>
      <c r="M82" s="199">
        <f>+'Exhibit G'!N58</f>
        <v>183.70000000000005</v>
      </c>
      <c r="N82" s="199"/>
      <c r="O82" s="199">
        <f>+'Exhibit G'!P58</f>
        <v>218.30000000000018</v>
      </c>
      <c r="P82" s="199"/>
      <c r="Q82" s="199">
        <f>+'Exhibit G'!R58</f>
        <v>175.59999999999991</v>
      </c>
      <c r="R82" s="199"/>
      <c r="S82" s="199">
        <f>+'Exhibit G'!T58</f>
        <v>184.90000000000009</v>
      </c>
      <c r="T82" s="199"/>
      <c r="U82" s="199">
        <f>+'Exhibit G'!V58</f>
        <v>232.89999999999986</v>
      </c>
      <c r="V82" s="199"/>
      <c r="W82" s="199">
        <f>+'Exhibit G'!X58</f>
        <v>172.29999999999995</v>
      </c>
      <c r="X82" s="199"/>
      <c r="Y82" s="199"/>
      <c r="Z82" s="199"/>
      <c r="AA82" s="200"/>
      <c r="AB82" s="199">
        <f t="shared" si="17"/>
        <v>2174.6</v>
      </c>
      <c r="AC82" s="199"/>
      <c r="AD82" s="882"/>
      <c r="AE82" s="199">
        <f>+'Exhibit G'!AH58</f>
        <v>2276.4</v>
      </c>
      <c r="AF82" s="1629"/>
      <c r="AG82" s="199"/>
      <c r="AH82" s="199">
        <f t="shared" si="18"/>
        <v>-101.8</v>
      </c>
      <c r="AI82" s="66"/>
      <c r="AJ82" s="553">
        <f>ROUND(IF(AE82=0,1,AH82/ABS(AE82)),3)</f>
        <v>-4.4999999999999998E-2</v>
      </c>
      <c r="AK82" s="62" t="s">
        <v>103</v>
      </c>
    </row>
    <row r="83" spans="1:37" ht="16.5" customHeight="1">
      <c r="A83" s="360" t="s">
        <v>411</v>
      </c>
      <c r="B83" s="360"/>
      <c r="C83" s="199">
        <f>+'Exhibit G'!D59+'Exhibit F'!D77</f>
        <v>92.3</v>
      </c>
      <c r="D83" s="199"/>
      <c r="E83" s="199">
        <f>+'Exhibit G'!F59+'Exhibit F'!F77</f>
        <v>104.7</v>
      </c>
      <c r="F83" s="199"/>
      <c r="G83" s="199">
        <f>+'Exhibit G'!H59+'Exhibit F'!H77</f>
        <v>69.199999999999974</v>
      </c>
      <c r="H83" s="199"/>
      <c r="I83" s="199">
        <f>+'Exhibit G'!J59+'Exhibit F'!J77</f>
        <v>81.000000000000014</v>
      </c>
      <c r="J83" s="199"/>
      <c r="K83" s="199">
        <f>+'Exhibit G'!L59+'Exhibit F'!L77</f>
        <v>56.499999999999986</v>
      </c>
      <c r="L83" s="199"/>
      <c r="M83" s="199">
        <f>+'Exhibit G'!N59+'Exhibit F'!N77</f>
        <v>89.400000000000048</v>
      </c>
      <c r="N83" s="199"/>
      <c r="O83" s="199">
        <f>+'Exhibit G'!P59+'Exhibit F'!P77</f>
        <v>98.699999999999932</v>
      </c>
      <c r="P83" s="199"/>
      <c r="Q83" s="199">
        <f>+'Exhibit G'!R59+'Exhibit F'!R77</f>
        <v>108.60000000000002</v>
      </c>
      <c r="R83" s="199"/>
      <c r="S83" s="199">
        <f>+'Exhibit G'!T59+'Exhibit F'!T77</f>
        <v>95</v>
      </c>
      <c r="T83" s="199"/>
      <c r="U83" s="199">
        <f>+'Exhibit G'!V59+'Exhibit F'!V77</f>
        <v>140.89999999999998</v>
      </c>
      <c r="V83" s="199"/>
      <c r="W83" s="199">
        <f>+'Exhibit G'!X59+'Exhibit F'!X77</f>
        <v>101.60000000000014</v>
      </c>
      <c r="X83" s="199"/>
      <c r="Y83" s="199"/>
      <c r="Z83" s="199"/>
      <c r="AA83" s="200"/>
      <c r="AB83" s="199">
        <f t="shared" si="17"/>
        <v>1037.9000000000001</v>
      </c>
      <c r="AC83" s="199"/>
      <c r="AD83" s="882"/>
      <c r="AE83" s="199">
        <f>+'Exhibit G'!AH59+'Exhibit F'!AF77</f>
        <v>823.8</v>
      </c>
      <c r="AF83" s="1629"/>
      <c r="AG83" s="199"/>
      <c r="AH83" s="199">
        <f t="shared" si="18"/>
        <v>214.1</v>
      </c>
      <c r="AI83" s="66"/>
      <c r="AJ83" s="553">
        <f>ROUND(IF(AE83=0,1,AH83/ABS(AE83)),3)</f>
        <v>0.26</v>
      </c>
    </row>
    <row r="84" spans="1:37" ht="16.5" customHeight="1">
      <c r="A84" s="360" t="s">
        <v>412</v>
      </c>
      <c r="B84" s="360"/>
      <c r="C84" s="199">
        <f>+'Exhibit G'!D60</f>
        <v>81.099999999999994</v>
      </c>
      <c r="D84" s="199"/>
      <c r="E84" s="199">
        <f>+'Exhibit G'!F60</f>
        <v>94.200000000000017</v>
      </c>
      <c r="F84" s="199"/>
      <c r="G84" s="199">
        <f>+'Exhibit G'!H60</f>
        <v>76.899999999999977</v>
      </c>
      <c r="H84" s="199"/>
      <c r="I84" s="199">
        <f>+'Exhibit G'!J60</f>
        <v>108.10000000000005</v>
      </c>
      <c r="J84" s="199"/>
      <c r="K84" s="199">
        <f>+'Exhibit G'!L60</f>
        <v>85.699999999999903</v>
      </c>
      <c r="L84" s="199"/>
      <c r="M84" s="199">
        <f>+'Exhibit G'!N60</f>
        <v>85.899999999999977</v>
      </c>
      <c r="N84" s="199"/>
      <c r="O84" s="199">
        <f>+'Exhibit G'!P60</f>
        <v>106.60000000000002</v>
      </c>
      <c r="P84" s="199"/>
      <c r="Q84" s="199">
        <f>+'Exhibit G'!R60</f>
        <v>83.799999999999955</v>
      </c>
      <c r="R84" s="199"/>
      <c r="S84" s="199">
        <f>+'Exhibit G'!T60</f>
        <v>80</v>
      </c>
      <c r="T84" s="199"/>
      <c r="U84" s="199">
        <f>+'Exhibit G'!V60</f>
        <v>107.20000000000005</v>
      </c>
      <c r="V84" s="199"/>
      <c r="W84" s="199">
        <f>+'Exhibit G'!X60</f>
        <v>83.200000000000045</v>
      </c>
      <c r="X84" s="199"/>
      <c r="Y84" s="199"/>
      <c r="Z84" s="199"/>
      <c r="AA84" s="200"/>
      <c r="AB84" s="199">
        <f t="shared" si="17"/>
        <v>992.7</v>
      </c>
      <c r="AC84" s="199"/>
      <c r="AD84" s="882"/>
      <c r="AE84" s="199">
        <f>+'Exhibit G'!AH60</f>
        <v>957.8</v>
      </c>
      <c r="AF84" s="1629"/>
      <c r="AG84" s="199"/>
      <c r="AH84" s="199">
        <f t="shared" si="18"/>
        <v>34.9</v>
      </c>
      <c r="AI84" s="66"/>
      <c r="AJ84" s="553">
        <f>ROUND(IF(AE84=0,1,AH84/ABS(AE84)),3)</f>
        <v>3.5999999999999997E-2</v>
      </c>
    </row>
    <row r="85" spans="1:37" ht="16.5" customHeight="1">
      <c r="A85" s="360" t="s">
        <v>413</v>
      </c>
      <c r="B85" s="360"/>
      <c r="C85" s="199">
        <f>+'Exhibit F'!D78+'Exhibit G'!D61+'Exhibit H'!B42+'Exhibit I'!E44</f>
        <v>381.8</v>
      </c>
      <c r="D85" s="199"/>
      <c r="E85" s="199">
        <f>+'Exhibit F'!F78+'Exhibit G'!F61+'Exhibit H'!D42+'Exhibit I'!G44</f>
        <v>344.90000000000003</v>
      </c>
      <c r="F85" s="199"/>
      <c r="G85" s="199">
        <f>+'Exhibit F'!H78+'Exhibit G'!H61+'Exhibit H'!F42+'Exhibit I'!I44</f>
        <v>370.79999999999995</v>
      </c>
      <c r="H85" s="199"/>
      <c r="I85" s="199">
        <f>+'Exhibit F'!J78+'Exhibit G'!J61+'Exhibit H'!H42+'Exhibit I'!K44</f>
        <v>350</v>
      </c>
      <c r="J85" s="199"/>
      <c r="K85" s="199">
        <f>+'Exhibit F'!L78+'Exhibit G'!L61+'Exhibit H'!J42+'Exhibit I'!M44</f>
        <v>374.90000000000026</v>
      </c>
      <c r="L85" s="199"/>
      <c r="M85" s="199">
        <f>+'Exhibit F'!N78+'Exhibit G'!N61+'Exhibit H'!L42+'Exhibit I'!O44</f>
        <v>361.09999999999997</v>
      </c>
      <c r="N85" s="199"/>
      <c r="O85" s="199">
        <f>+'Exhibit F'!P78+'Exhibit G'!P61+'Exhibit H'!N42+'Exhibit I'!Q44</f>
        <v>353.5</v>
      </c>
      <c r="P85" s="199"/>
      <c r="Q85" s="199">
        <f>+'Exhibit F'!R78+'Exhibit G'!R61+'Exhibit H'!P42+'Exhibit I'!S44</f>
        <v>332.00000000000017</v>
      </c>
      <c r="R85" s="199"/>
      <c r="S85" s="199">
        <f>+'Exhibit F'!T78+'Exhibit G'!T61+'Exhibit H'!R42+'Exhibit I'!U44</f>
        <v>296.79999999999978</v>
      </c>
      <c r="T85" s="199"/>
      <c r="U85" s="199">
        <f>+'Exhibit F'!V78+'Exhibit G'!V61+'Exhibit H'!T42+'Exhibit I'!W44</f>
        <v>312.20000000000005</v>
      </c>
      <c r="V85" s="199"/>
      <c r="W85" s="199">
        <f>+'Exhibit F'!X78+'Exhibit G'!X61+'Exhibit H'!V42+'Exhibit I'!Y44</f>
        <v>314.79999999999984</v>
      </c>
      <c r="X85" s="199"/>
      <c r="Y85" s="199"/>
      <c r="Z85" s="199"/>
      <c r="AA85" s="200"/>
      <c r="AB85" s="199">
        <f t="shared" si="17"/>
        <v>3792.8</v>
      </c>
      <c r="AC85" s="199"/>
      <c r="AD85" s="882"/>
      <c r="AE85" s="199">
        <f>+'Exhibit F'!AF78+'Exhibit G'!AH61+'Exhibit H'!AD42+'Exhibit I'!AI44</f>
        <v>3857.1</v>
      </c>
      <c r="AF85" s="1629"/>
      <c r="AG85" s="199"/>
      <c r="AH85" s="199">
        <f t="shared" si="18"/>
        <v>-64.3</v>
      </c>
      <c r="AI85" s="66"/>
      <c r="AJ85" s="880">
        <f>ROUND(IF(AE85=0,0,AH85/ABS(AE85)),3)</f>
        <v>-1.7000000000000001E-2</v>
      </c>
    </row>
    <row r="86" spans="1:37" ht="16.5" customHeight="1">
      <c r="A86" s="360" t="s">
        <v>414</v>
      </c>
      <c r="B86" s="360"/>
      <c r="C86" s="199">
        <f>+'Exhibit F'!D79+'Exhibit G'!D62+'Exhibit H'!B43+'Exhibit I'!E45</f>
        <v>6.6</v>
      </c>
      <c r="D86" s="199"/>
      <c r="E86" s="199">
        <f>+'Exhibit F'!F79+'Exhibit G'!F62+'Exhibit H'!D43+'Exhibit I'!G45</f>
        <v>2.1000000000000005</v>
      </c>
      <c r="F86" s="199"/>
      <c r="G86" s="199">
        <f>+'Exhibit F'!H79+'Exhibit G'!H62+'Exhibit H'!F43+'Exhibit I'!I45</f>
        <v>5.4</v>
      </c>
      <c r="H86" s="199"/>
      <c r="I86" s="199">
        <f>+'Exhibit F'!J79+'Exhibit G'!J62+'Exhibit H'!H43+'Exhibit I'!K45</f>
        <v>2.9000000000000012</v>
      </c>
      <c r="J86" s="199"/>
      <c r="K86" s="199">
        <f>+'Exhibit F'!L79+'Exhibit G'!L62+'Exhibit H'!J43+'Exhibit I'!M45</f>
        <v>0.80000000000000071</v>
      </c>
      <c r="L86" s="199"/>
      <c r="M86" s="199">
        <f>+'Exhibit F'!N79+'Exhibit G'!N62+'Exhibit H'!L43+'Exhibit I'!O45</f>
        <v>5.0000000000000009</v>
      </c>
      <c r="N86" s="199"/>
      <c r="O86" s="199">
        <f>+'Exhibit F'!P79+'Exhibit G'!P62+'Exhibit H'!N43+'Exhibit I'!Q45</f>
        <v>2.8999999999999972</v>
      </c>
      <c r="P86" s="199"/>
      <c r="Q86" s="199">
        <f>+'Exhibit F'!R79+'Exhibit G'!R62+'Exhibit H'!P43+'Exhibit I'!S45</f>
        <v>1</v>
      </c>
      <c r="R86" s="199"/>
      <c r="S86" s="199">
        <f>+'Exhibit F'!T79+'Exhibit G'!T62+'Exhibit H'!R43+'Exhibit I'!U45</f>
        <v>5.2000000000000028</v>
      </c>
      <c r="T86" s="199"/>
      <c r="U86" s="199">
        <f>+'Exhibit F'!V79+'Exhibit G'!V62+'Exhibit H'!T43+'Exhibit I'!W45</f>
        <v>2.3999999999999986</v>
      </c>
      <c r="V86" s="199"/>
      <c r="W86" s="199">
        <f>+'Exhibit F'!X79+'Exhibit G'!X62+'Exhibit H'!V43+'Exhibit I'!Y45</f>
        <v>1</v>
      </c>
      <c r="X86" s="199"/>
      <c r="Y86" s="199"/>
      <c r="Z86" s="199"/>
      <c r="AA86" s="200"/>
      <c r="AB86" s="199">
        <f t="shared" si="17"/>
        <v>35.299999999999997</v>
      </c>
      <c r="AC86" s="199"/>
      <c r="AD86" s="882"/>
      <c r="AE86" s="199">
        <f>+'Exhibit F'!AF79+'Exhibit G'!AH62+'Exhibit H'!AD43+'Exhibit I'!AI45</f>
        <v>188</v>
      </c>
      <c r="AF86" s="1629"/>
      <c r="AG86" s="199"/>
      <c r="AH86" s="199">
        <f t="shared" si="18"/>
        <v>-152.69999999999999</v>
      </c>
      <c r="AI86" s="66"/>
      <c r="AJ86" s="276">
        <f>ROUND(IF(AE86=0,0,AH86/ABS(AE86)),3)</f>
        <v>-0.81200000000000006</v>
      </c>
    </row>
    <row r="87" spans="1:37" ht="16.5" customHeight="1">
      <c r="A87" s="360" t="s">
        <v>415</v>
      </c>
      <c r="B87" s="360"/>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629"/>
      <c r="AG87" s="199"/>
      <c r="AH87" s="199"/>
      <c r="AI87" s="66"/>
      <c r="AJ87" s="384"/>
    </row>
    <row r="88" spans="1:37" ht="16.5" customHeight="1">
      <c r="A88" s="360" t="s">
        <v>416</v>
      </c>
      <c r="B88" s="360"/>
      <c r="C88" s="199">
        <f>+'Exhibit G'!D64+'Exhibit I'!E47</f>
        <v>103</v>
      </c>
      <c r="D88" s="199"/>
      <c r="E88" s="199">
        <f>+'Exhibit G'!F64+'Exhibit I'!G47</f>
        <v>1321.3000000000002</v>
      </c>
      <c r="F88" s="199"/>
      <c r="G88" s="199">
        <f>+'Exhibit G'!H64+'Exhibit I'!I47</f>
        <v>9.9999999999909051E-2</v>
      </c>
      <c r="H88" s="199"/>
      <c r="I88" s="199">
        <f>+'Exhibit G'!J64+'Exhibit I'!K47</f>
        <v>402</v>
      </c>
      <c r="J88" s="199"/>
      <c r="K88" s="199">
        <f>+'Exhibit G'!L64+'Exhibit I'!M47</f>
        <v>7.5999999999999091</v>
      </c>
      <c r="L88" s="199"/>
      <c r="M88" s="199">
        <f>+'Exhibit G'!N64+'Exhibit I'!O47</f>
        <v>378.5</v>
      </c>
      <c r="N88" s="199"/>
      <c r="O88" s="199">
        <f>+'Exhibit G'!P64+'Exhibit I'!Q47</f>
        <v>265.09999999999991</v>
      </c>
      <c r="P88" s="199"/>
      <c r="Q88" s="199">
        <f>+'Exhibit G'!R64+'Exhibit I'!S47</f>
        <v>0.59999999999990905</v>
      </c>
      <c r="R88" s="199"/>
      <c r="S88" s="199">
        <f>+'Exhibit G'!T64+'Exhibit I'!U47</f>
        <v>164</v>
      </c>
      <c r="T88" s="199"/>
      <c r="U88" s="199">
        <f>+'Exhibit G'!V64+'Exhibit I'!W47</f>
        <v>21.700000000000273</v>
      </c>
      <c r="V88" s="199"/>
      <c r="W88" s="199">
        <f>+'Exhibit G'!X64+'Exhibit I'!Y47</f>
        <v>22.099999999999909</v>
      </c>
      <c r="X88" s="199"/>
      <c r="Y88" s="199"/>
      <c r="Z88" s="199"/>
      <c r="AA88" s="200"/>
      <c r="AB88" s="199">
        <f t="shared" si="14"/>
        <v>2686</v>
      </c>
      <c r="AC88" s="199"/>
      <c r="AD88" s="882"/>
      <c r="AE88" s="199">
        <f>+'Exhibit G'!AH64+'Exhibit I'!AI47+'Exhibit H'!AD45+'Exhibit F'!AF81</f>
        <v>2929.8</v>
      </c>
      <c r="AF88" s="1629"/>
      <c r="AG88" s="199"/>
      <c r="AH88" s="199">
        <f t="shared" si="15"/>
        <v>-243.8</v>
      </c>
      <c r="AI88" s="66"/>
      <c r="AJ88" s="553">
        <f>ROUND(IF(AE88=0,1,AH88/ABS(AE88)),3)</f>
        <v>-8.3000000000000004E-2</v>
      </c>
    </row>
    <row r="89" spans="1:37" ht="16.5" customHeight="1">
      <c r="A89" s="360" t="s">
        <v>417</v>
      </c>
      <c r="B89" s="360"/>
      <c r="C89" s="199">
        <f>+'Exhibit F'!D82+'Exhibit G'!D65</f>
        <v>0.30000000000000004</v>
      </c>
      <c r="D89" s="199"/>
      <c r="E89" s="199">
        <f>+'Exhibit F'!F82+'Exhibit G'!F65</f>
        <v>7.8999999999999995</v>
      </c>
      <c r="F89" s="199"/>
      <c r="G89" s="199">
        <f>+'Exhibit F'!H82+'Exhibit G'!H65</f>
        <v>0</v>
      </c>
      <c r="H89" s="199"/>
      <c r="I89" s="199">
        <f>+'Exhibit F'!J82+'Exhibit G'!J65</f>
        <v>0</v>
      </c>
      <c r="J89" s="199"/>
      <c r="K89" s="199">
        <f>+'Exhibit F'!L82+'Exhibit G'!L65</f>
        <v>0</v>
      </c>
      <c r="L89" s="199"/>
      <c r="M89" s="199">
        <f>+'Exhibit F'!N82+'Exhibit G'!N65</f>
        <v>8.9000000000000021</v>
      </c>
      <c r="N89" s="199"/>
      <c r="O89" s="199">
        <f>+'Exhibit F'!P82+'Exhibit G'!P65</f>
        <v>0</v>
      </c>
      <c r="P89" s="199"/>
      <c r="Q89" s="199">
        <f>+'Exhibit F'!R82+'Exhibit G'!R65</f>
        <v>0</v>
      </c>
      <c r="R89" s="199"/>
      <c r="S89" s="199">
        <f>+'Exhibit F'!T82+'Exhibit G'!T65</f>
        <v>20.499999999999996</v>
      </c>
      <c r="T89" s="199"/>
      <c r="U89" s="199">
        <f>+'Exhibit F'!V82+'Exhibit G'!V65</f>
        <v>0.19999999999999929</v>
      </c>
      <c r="V89" s="199"/>
      <c r="W89" s="199">
        <f>+'Exhibit F'!X82+'Exhibit G'!X65</f>
        <v>0</v>
      </c>
      <c r="X89" s="199"/>
      <c r="Y89" s="199"/>
      <c r="Z89" s="199"/>
      <c r="AA89" s="200"/>
      <c r="AB89" s="199">
        <f t="shared" si="14"/>
        <v>37.799999999999997</v>
      </c>
      <c r="AC89" s="199"/>
      <c r="AD89" s="882"/>
      <c r="AE89" s="199">
        <f>+'Exhibit F'!AF82+'Exhibit G'!AH65</f>
        <v>23.299999999999997</v>
      </c>
      <c r="AF89" s="1629"/>
      <c r="AG89" s="199"/>
      <c r="AH89" s="199">
        <f t="shared" si="15"/>
        <v>14.5</v>
      </c>
      <c r="AI89" s="66"/>
      <c r="AJ89" s="553">
        <f>ROUND(IF(AE89=0,1,AH89/ABS(AE89)),3)</f>
        <v>0.622</v>
      </c>
    </row>
    <row r="90" spans="1:37" ht="16.5" customHeight="1">
      <c r="A90" s="360" t="s">
        <v>418</v>
      </c>
      <c r="B90" s="360"/>
      <c r="C90" s="199">
        <f>+'Exhibit F'!D83+'Exhibit G'!D66</f>
        <v>3.4</v>
      </c>
      <c r="D90" s="199"/>
      <c r="E90" s="199">
        <f>+'Exhibit F'!F83+'Exhibit G'!F66</f>
        <v>3.4</v>
      </c>
      <c r="F90" s="199"/>
      <c r="G90" s="199">
        <f>+'Exhibit F'!H83+'Exhibit G'!H66</f>
        <v>-0.69999999999999951</v>
      </c>
      <c r="H90" s="199"/>
      <c r="I90" s="199">
        <f>+'Exhibit F'!J83+'Exhibit G'!J66</f>
        <v>5.8999999999999995</v>
      </c>
      <c r="J90" s="199"/>
      <c r="K90" s="199">
        <f>+'Exhibit F'!L83+'Exhibit G'!L66</f>
        <v>0.10000000000000053</v>
      </c>
      <c r="L90" s="199"/>
      <c r="M90" s="199">
        <f>+'Exhibit F'!N83+'Exhibit G'!N66</f>
        <v>1.1999999999999993</v>
      </c>
      <c r="N90" s="199"/>
      <c r="O90" s="199">
        <f>+'Exhibit F'!P83+'Exhibit G'!P66</f>
        <v>2.5</v>
      </c>
      <c r="P90" s="199"/>
      <c r="Q90" s="199">
        <f>+'Exhibit F'!R83+'Exhibit G'!R66</f>
        <v>9.9999999999999645E-2</v>
      </c>
      <c r="R90" s="199"/>
      <c r="S90" s="199">
        <f>+'Exhibit F'!T83+'Exhibit G'!T66</f>
        <v>4.3000000000000007</v>
      </c>
      <c r="T90" s="199"/>
      <c r="U90" s="199">
        <f>+'Exhibit F'!V83+'Exhibit G'!V66</f>
        <v>1.1999999999999993</v>
      </c>
      <c r="V90" s="199"/>
      <c r="W90" s="199">
        <f>+'Exhibit F'!X83+'Exhibit G'!X66</f>
        <v>0</v>
      </c>
      <c r="X90" s="199"/>
      <c r="Y90" s="199"/>
      <c r="Z90" s="199"/>
      <c r="AA90" s="200"/>
      <c r="AB90" s="199">
        <f t="shared" si="14"/>
        <v>21.4</v>
      </c>
      <c r="AC90" s="199"/>
      <c r="AD90" s="882"/>
      <c r="AE90" s="199">
        <f>+'Exhibit F'!AF83+'Exhibit G'!AH66</f>
        <v>53.2</v>
      </c>
      <c r="AF90" s="1629"/>
      <c r="AG90" s="199"/>
      <c r="AH90" s="199">
        <f t="shared" si="15"/>
        <v>-31.8</v>
      </c>
      <c r="AI90" s="66"/>
      <c r="AJ90" s="553">
        <f t="shared" ref="AJ90:AJ92" si="19">ROUND(IF(AE90=0,0,AH90/ABS(AE90)),3)</f>
        <v>-0.59799999999999998</v>
      </c>
    </row>
    <row r="91" spans="1:37" ht="16.5" customHeight="1">
      <c r="A91" s="360" t="s">
        <v>419</v>
      </c>
      <c r="B91" s="360"/>
      <c r="C91" s="199">
        <f>+'Exhibit F'!D84+'Exhibit G'!D67+'Exhibit I'!E49</f>
        <v>5</v>
      </c>
      <c r="D91" s="199"/>
      <c r="E91" s="199">
        <f>+'Exhibit F'!F84+'Exhibit G'!F67+'Exhibit I'!G49</f>
        <v>-0.29999999999999938</v>
      </c>
      <c r="F91" s="199"/>
      <c r="G91" s="199">
        <f>+'Exhibit F'!H84+'Exhibit G'!H67+'Exhibit I'!I49</f>
        <v>4.4000000000000004</v>
      </c>
      <c r="H91" s="199"/>
      <c r="I91" s="199">
        <f>+'Exhibit F'!J84+'Exhibit G'!J67+'Exhibit I'!K49</f>
        <v>9.0999999999999979</v>
      </c>
      <c r="J91" s="199"/>
      <c r="K91" s="199">
        <f>+'Exhibit F'!L84+'Exhibit G'!L67+'Exhibit I'!M49</f>
        <v>7.0999999999999979</v>
      </c>
      <c r="L91" s="199"/>
      <c r="M91" s="199">
        <f>+'Exhibit F'!N84+'Exhibit G'!N67+'Exhibit I'!O49</f>
        <v>4.4999999999999982</v>
      </c>
      <c r="N91" s="199"/>
      <c r="O91" s="199">
        <f>+'Exhibit F'!P84+'Exhibit G'!P67+'Exhibit I'!Q49</f>
        <v>5.3999999999999986</v>
      </c>
      <c r="P91" s="199"/>
      <c r="Q91" s="199">
        <f>+'Exhibit F'!R84+'Exhibit G'!R67+'Exhibit I'!S49</f>
        <v>4.3999999999999986</v>
      </c>
      <c r="R91" s="199"/>
      <c r="S91" s="199">
        <f>+'Exhibit F'!T84+'Exhibit G'!T67+'Exhibit I'!U49</f>
        <v>14.800000000000004</v>
      </c>
      <c r="T91" s="199"/>
      <c r="U91" s="199">
        <f>+'Exhibit F'!V84+'Exhibit G'!V67+'Exhibit I'!W49</f>
        <v>8.5999999999999979</v>
      </c>
      <c r="V91" s="199"/>
      <c r="W91" s="199">
        <f>+'Exhibit F'!X84+'Exhibit G'!X67+'Exhibit I'!Y49</f>
        <v>4</v>
      </c>
      <c r="X91" s="199"/>
      <c r="Y91" s="199"/>
      <c r="Z91" s="199"/>
      <c r="AA91" s="200"/>
      <c r="AB91" s="199">
        <f t="shared" si="14"/>
        <v>67</v>
      </c>
      <c r="AC91" s="199"/>
      <c r="AD91" s="882"/>
      <c r="AE91" s="199">
        <f>+'Exhibit F'!AF84+'Exhibit G'!AH67+'Exhibit I'!AI49</f>
        <v>79.5</v>
      </c>
      <c r="AF91" s="1629"/>
      <c r="AG91" s="199"/>
      <c r="AH91" s="199">
        <f t="shared" si="15"/>
        <v>-12.5</v>
      </c>
      <c r="AI91" s="66"/>
      <c r="AJ91" s="276">
        <f t="shared" si="19"/>
        <v>-0.157</v>
      </c>
    </row>
    <row r="92" spans="1:37" ht="16.5" customHeight="1">
      <c r="A92" s="360" t="s">
        <v>420</v>
      </c>
      <c r="B92" s="360"/>
      <c r="C92" s="199">
        <f>+'Exhibit F'!D85+'Exhibit G'!D68+'Exhibit H'!B46+'Exhibit I'!E50</f>
        <v>47.6</v>
      </c>
      <c r="D92" s="199"/>
      <c r="E92" s="199">
        <f>+'Exhibit F'!F85+'Exhibit G'!F68+'Exhibit H'!D46+'Exhibit I'!G50</f>
        <v>28.700000000000003</v>
      </c>
      <c r="F92" s="199"/>
      <c r="G92" s="199">
        <f>+'Exhibit F'!H85+'Exhibit G'!H68+'Exhibit H'!F46+'Exhibit I'!I50</f>
        <v>8.1999999999999922</v>
      </c>
      <c r="H92" s="199"/>
      <c r="I92" s="199">
        <f>+'Exhibit F'!J85+'Exhibit G'!J68+'Exhibit H'!H46+'Exhibit I'!K50</f>
        <v>2.1000000000000059</v>
      </c>
      <c r="J92" s="199"/>
      <c r="K92" s="199">
        <f>+'Exhibit F'!L85+'Exhibit G'!L68+'Exhibit H'!J46+'Exhibit I'!M50</f>
        <v>2.5999999999999952</v>
      </c>
      <c r="L92" s="199"/>
      <c r="M92" s="199">
        <f>+'Exhibit F'!N85+'Exhibit G'!N68+'Exhibit H'!L46+'Exhibit I'!O50</f>
        <v>0.70000000000000129</v>
      </c>
      <c r="N92" s="199"/>
      <c r="O92" s="199">
        <f>+'Exhibit F'!P85+'Exhibit G'!P68+'Exhibit H'!N46+'Exhibit I'!Q50</f>
        <v>2.9999999999999951</v>
      </c>
      <c r="P92" s="199"/>
      <c r="Q92" s="199">
        <f>+'Exhibit F'!R85+'Exhibit G'!R68+'Exhibit H'!P46+'Exhibit I'!S50</f>
        <v>110.4</v>
      </c>
      <c r="R92" s="199"/>
      <c r="S92" s="199">
        <f>+'Exhibit F'!T85+'Exhibit G'!T68+'Exhibit H'!R46+'Exhibit I'!U50</f>
        <v>19.79999999999999</v>
      </c>
      <c r="T92" s="199"/>
      <c r="U92" s="199">
        <f>+'Exhibit F'!V85+'Exhibit G'!V68+'Exhibit H'!T46+'Exhibit I'!W50</f>
        <v>44.000000000000014</v>
      </c>
      <c r="V92" s="199"/>
      <c r="W92" s="199">
        <f>+'Exhibit F'!X85+'Exhibit G'!X68+'Exhibit H'!V46+'Exhibit I'!Y50</f>
        <v>122.19999999999999</v>
      </c>
      <c r="X92" s="199"/>
      <c r="Y92" s="199"/>
      <c r="Z92" s="199"/>
      <c r="AA92" s="200"/>
      <c r="AB92" s="199">
        <f t="shared" si="14"/>
        <v>389.3</v>
      </c>
      <c r="AC92" s="199"/>
      <c r="AD92" s="882"/>
      <c r="AE92" s="199">
        <f>+'Exhibit F'!AF85+'Exhibit G'!AH68+'Exhibit H'!AD46+'Exhibit I'!AI50</f>
        <v>311.89999999999998</v>
      </c>
      <c r="AF92" s="1629"/>
      <c r="AG92" s="199"/>
      <c r="AH92" s="199">
        <f t="shared" si="15"/>
        <v>77.400000000000006</v>
      </c>
      <c r="AI92" s="66"/>
      <c r="AJ92" s="553">
        <f t="shared" si="19"/>
        <v>0.248</v>
      </c>
    </row>
    <row r="93" spans="1:37" ht="16.5" customHeight="1">
      <c r="A93" s="360" t="s">
        <v>421</v>
      </c>
      <c r="B93" s="360"/>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629"/>
      <c r="AG93" s="199"/>
      <c r="AH93" s="199"/>
      <c r="AI93" s="66"/>
      <c r="AJ93" s="276"/>
    </row>
    <row r="94" spans="1:37" ht="16.5" customHeight="1">
      <c r="A94" s="360" t="s">
        <v>422</v>
      </c>
      <c r="B94" s="360"/>
      <c r="C94" s="199">
        <f>+'Exhibit F'!D87+'Exhibit G'!D70+'Exhibit I'!E52</f>
        <v>9.4</v>
      </c>
      <c r="D94" s="199"/>
      <c r="E94" s="199">
        <f>+'Exhibit F'!F87+'Exhibit G'!F70+'Exhibit I'!G52</f>
        <v>9.8000000000000007</v>
      </c>
      <c r="F94" s="199"/>
      <c r="G94" s="199">
        <f>+'Exhibit F'!H87+'Exhibit G'!H70+'Exhibit I'!I52</f>
        <v>48.2</v>
      </c>
      <c r="H94" s="199"/>
      <c r="I94" s="199">
        <f>+'Exhibit F'!J87+'Exhibit G'!J70+'Exhibit I'!K52</f>
        <v>10.699999999999992</v>
      </c>
      <c r="J94" s="199"/>
      <c r="K94" s="199">
        <f>+'Exhibit F'!L87+'Exhibit G'!L70+'Exhibit I'!M52</f>
        <v>25.100000000000012</v>
      </c>
      <c r="L94" s="199"/>
      <c r="M94" s="199">
        <f>+'Exhibit F'!N87+'Exhibit G'!N70+'Exhibit I'!O52</f>
        <v>27.000000000000004</v>
      </c>
      <c r="N94" s="199"/>
      <c r="O94" s="199">
        <f>+'Exhibit F'!P87+'Exhibit G'!P70+'Exhibit I'!Q52</f>
        <v>10.599999999999987</v>
      </c>
      <c r="P94" s="199"/>
      <c r="Q94" s="199">
        <f>+'Exhibit F'!R87+'Exhibit G'!R70+'Exhibit I'!S52</f>
        <v>24.5</v>
      </c>
      <c r="R94" s="199"/>
      <c r="S94" s="199">
        <f>+'Exhibit F'!T87+'Exhibit G'!T70+'Exhibit I'!U52</f>
        <v>27.100000000000009</v>
      </c>
      <c r="T94" s="199"/>
      <c r="U94" s="199">
        <f>+'Exhibit F'!V87+'Exhibit G'!V70+'Exhibit I'!W52</f>
        <v>24.000000000000007</v>
      </c>
      <c r="V94" s="199"/>
      <c r="W94" s="199">
        <f>+'Exhibit F'!X87+'Exhibit G'!X70+'Exhibit I'!Y52</f>
        <v>1.1999999999999815</v>
      </c>
      <c r="X94" s="199"/>
      <c r="Y94" s="199"/>
      <c r="Z94" s="199"/>
      <c r="AA94" s="200"/>
      <c r="AB94" s="199">
        <f t="shared" si="14"/>
        <v>217.6</v>
      </c>
      <c r="AC94" s="199"/>
      <c r="AD94" s="882"/>
      <c r="AE94" s="199">
        <f>+'Exhibit F'!AF87+'Exhibit G'!AH70+'Exhibit I'!AI52</f>
        <v>188.2</v>
      </c>
      <c r="AF94" s="1629"/>
      <c r="AG94" s="199"/>
      <c r="AH94" s="199">
        <f t="shared" si="15"/>
        <v>29.4</v>
      </c>
      <c r="AI94" s="66"/>
      <c r="AJ94" s="553">
        <f>ROUND(IF(AE94=0,0,AH94/ABS(AE94)),3)</f>
        <v>0.156</v>
      </c>
    </row>
    <row r="95" spans="1:37" ht="16.5" customHeight="1">
      <c r="A95" s="360" t="s">
        <v>423</v>
      </c>
      <c r="B95" s="360"/>
      <c r="C95" s="199">
        <f>+'Exhibit G'!D71+'Exhibit F'!D88</f>
        <v>1.6999999999999886</v>
      </c>
      <c r="D95" s="199"/>
      <c r="E95" s="199">
        <f>+'Exhibit G'!F71+'Exhibit F'!F88</f>
        <v>0.30000000000001692</v>
      </c>
      <c r="F95" s="199"/>
      <c r="G95" s="199">
        <f>+'Exhibit G'!H71+'Exhibit F'!H88</f>
        <v>0.50000000000001699</v>
      </c>
      <c r="H95" s="199"/>
      <c r="I95" s="199">
        <f>+'Exhibit G'!J71+'Exhibit F'!J88</f>
        <v>9.9999999999960232E-2</v>
      </c>
      <c r="J95" s="199"/>
      <c r="K95" s="199">
        <f>+'Exhibit G'!L71+'Exhibit F'!L88</f>
        <v>0.30000000000001736</v>
      </c>
      <c r="L95" s="199"/>
      <c r="M95" s="199">
        <f>+'Exhibit G'!N71+'Exhibit F'!N88</f>
        <v>-0.10000000000000009</v>
      </c>
      <c r="N95" s="199"/>
      <c r="O95" s="199">
        <f>+'Exhibit G'!P71+'Exhibit F'!P88</f>
        <v>0.49999999999999978</v>
      </c>
      <c r="P95" s="199"/>
      <c r="Q95" s="199">
        <f>+'Exhibit G'!R71+'Exhibit F'!R88</f>
        <v>0.10000000000000031</v>
      </c>
      <c r="R95" s="199"/>
      <c r="S95" s="199">
        <f>ROUND((+'Exhibit G'!T71+'Exhibit F'!T88),0)</f>
        <v>0</v>
      </c>
      <c r="T95" s="199"/>
      <c r="U95" s="199">
        <f>+'Exhibit G'!V71+'Exhibit F'!V88</f>
        <v>0.30000000000000004</v>
      </c>
      <c r="V95" s="199"/>
      <c r="W95" s="199">
        <f>+'Exhibit G'!X71+'Exhibit F'!X88</f>
        <v>0.30000000000000027</v>
      </c>
      <c r="X95" s="199"/>
      <c r="Y95" s="199"/>
      <c r="Z95" s="199"/>
      <c r="AA95" s="200"/>
      <c r="AB95" s="199">
        <f t="shared" si="14"/>
        <v>4</v>
      </c>
      <c r="AC95" s="199"/>
      <c r="AD95" s="882"/>
      <c r="AE95" s="199">
        <f>+'Exhibit G'!AH71+'Exhibit F'!AF88</f>
        <v>2.8</v>
      </c>
      <c r="AF95" s="1629"/>
      <c r="AG95" s="199"/>
      <c r="AH95" s="199">
        <f t="shared" si="15"/>
        <v>1.2</v>
      </c>
      <c r="AI95" s="66"/>
      <c r="AJ95" s="276">
        <f>ROUND(IF(AE95=0,0,AH95/ABS(AE95)),3)</f>
        <v>0.42899999999999999</v>
      </c>
    </row>
    <row r="96" spans="1:37" ht="16.5" customHeight="1">
      <c r="A96" s="360" t="s">
        <v>424</v>
      </c>
      <c r="B96" s="360"/>
      <c r="C96" s="199">
        <f>'Exhibit G'!D72</f>
        <v>0</v>
      </c>
      <c r="D96" s="199"/>
      <c r="E96" s="199">
        <f>'Exhibit G'!F72</f>
        <v>0</v>
      </c>
      <c r="F96" s="199"/>
      <c r="G96" s="199">
        <f>'Exhibit G'!H72</f>
        <v>0</v>
      </c>
      <c r="H96" s="199"/>
      <c r="I96" s="199">
        <f>'Exhibit G'!J72</f>
        <v>0</v>
      </c>
      <c r="J96" s="199"/>
      <c r="K96" s="199">
        <f>'Exhibit G'!L72</f>
        <v>0</v>
      </c>
      <c r="L96" s="199"/>
      <c r="M96" s="199">
        <f>'Exhibit G'!N72</f>
        <v>0</v>
      </c>
      <c r="N96" s="199"/>
      <c r="O96" s="199">
        <f>'Exhibit G'!P72</f>
        <v>0</v>
      </c>
      <c r="P96" s="199"/>
      <c r="Q96" s="199">
        <f>'Exhibit G'!R72</f>
        <v>0</v>
      </c>
      <c r="R96" s="199"/>
      <c r="S96" s="199">
        <f>'Exhibit G'!T72</f>
        <v>0</v>
      </c>
      <c r="T96" s="199"/>
      <c r="U96" s="199">
        <f>'Exhibit G'!V72</f>
        <v>0</v>
      </c>
      <c r="V96" s="199"/>
      <c r="W96" s="199">
        <f>'Exhibit G'!X72</f>
        <v>0</v>
      </c>
      <c r="X96" s="199"/>
      <c r="Y96" s="199"/>
      <c r="Z96" s="199"/>
      <c r="AA96" s="402"/>
      <c r="AB96" s="199">
        <f t="shared" si="14"/>
        <v>0</v>
      </c>
      <c r="AC96" s="199"/>
      <c r="AD96" s="882"/>
      <c r="AE96" s="199">
        <f>'Exhibit G'!AH72</f>
        <v>0</v>
      </c>
      <c r="AF96" s="1629"/>
      <c r="AG96" s="199"/>
      <c r="AH96" s="199">
        <f t="shared" ref="AH96" si="20">ROUND(SUM(AB96-AE96),1)</f>
        <v>0</v>
      </c>
      <c r="AI96" s="66"/>
      <c r="AJ96" s="276">
        <f>ROUND(IF(AE96=0,0,AH96/ABS(AE96)),3)</f>
        <v>0</v>
      </c>
    </row>
    <row r="97" spans="1:45" ht="16.5" customHeight="1">
      <c r="A97" s="360" t="s">
        <v>425</v>
      </c>
      <c r="B97" s="360"/>
      <c r="C97" s="199">
        <f>+'Exhibit F'!D89+'Exhibit G'!D73+'Exhibit I'!E53</f>
        <v>7.3999999999999995</v>
      </c>
      <c r="D97" s="199"/>
      <c r="E97" s="199">
        <f>+'Exhibit F'!F89+'Exhibit G'!F73+'Exhibit I'!G53</f>
        <v>4.4000000000000004</v>
      </c>
      <c r="F97" s="199"/>
      <c r="G97" s="199">
        <f>+'Exhibit F'!H89+'Exhibit G'!H73+'Exhibit I'!I53</f>
        <v>3.4999999999999991</v>
      </c>
      <c r="H97" s="199"/>
      <c r="I97" s="199">
        <f>+'Exhibit F'!J89+'Exhibit G'!J73+'Exhibit I'!K53</f>
        <v>2.5000000000000009</v>
      </c>
      <c r="J97" s="199"/>
      <c r="K97" s="199">
        <f>+'Exhibit F'!L89+'Exhibit G'!L73+'Exhibit I'!M53</f>
        <v>0.5</v>
      </c>
      <c r="L97" s="199"/>
      <c r="M97" s="199">
        <f>+'Exhibit F'!N89+'Exhibit G'!N73+'Exhibit I'!O53</f>
        <v>0.10000000000000017</v>
      </c>
      <c r="N97" s="199"/>
      <c r="O97" s="199">
        <f>+'Exhibit F'!P89+'Exhibit G'!P73+'Exhibit I'!Q53</f>
        <v>1.2000000000000006</v>
      </c>
      <c r="P97" s="199"/>
      <c r="Q97" s="199">
        <f>+'Exhibit F'!R89+'Exhibit G'!R73+'Exhibit I'!S53</f>
        <v>1.0999999999999996</v>
      </c>
      <c r="R97" s="199"/>
      <c r="S97" s="199">
        <f>+'Exhibit F'!T89+'Exhibit G'!T73+'Exhibit I'!U53</f>
        <v>2.1999999999999993</v>
      </c>
      <c r="T97" s="199"/>
      <c r="U97" s="199">
        <f>+'Exhibit F'!V89+'Exhibit G'!V73+'Exhibit I'!W53</f>
        <v>0.29999999999999893</v>
      </c>
      <c r="V97" s="199"/>
      <c r="W97" s="199">
        <f>+'Exhibit F'!X89+'Exhibit G'!X73+'Exhibit I'!Y53</f>
        <v>6.4000000000000021</v>
      </c>
      <c r="X97" s="199"/>
      <c r="Y97" s="199"/>
      <c r="Z97" s="199"/>
      <c r="AA97" s="200"/>
      <c r="AB97" s="199">
        <f t="shared" si="14"/>
        <v>29.6</v>
      </c>
      <c r="AC97" s="199"/>
      <c r="AD97" s="882"/>
      <c r="AE97" s="199">
        <f>+'Exhibit F'!AF89+'Exhibit G'!AH73+'Exhibit I'!AI53</f>
        <v>48.3</v>
      </c>
      <c r="AF97" s="1629"/>
      <c r="AG97" s="199"/>
      <c r="AH97" s="199">
        <f t="shared" si="15"/>
        <v>-18.7</v>
      </c>
      <c r="AI97" s="66"/>
      <c r="AJ97" s="384">
        <f t="shared" ref="AJ97:AJ104" si="21">ROUND(IF(AE97=0,0,AH97/ABS(AE97)),3)</f>
        <v>-0.38700000000000001</v>
      </c>
    </row>
    <row r="98" spans="1:45" ht="16.5" customHeight="1">
      <c r="A98" s="360" t="s">
        <v>426</v>
      </c>
      <c r="B98" s="360"/>
      <c r="C98" s="199">
        <f>+'Exhibit F'!D90+'Exhibit G'!D74+'Exhibit I'!E54</f>
        <v>6.2</v>
      </c>
      <c r="D98" s="199"/>
      <c r="E98" s="199">
        <f>+'Exhibit F'!F90+'Exhibit G'!F74+'Exhibit I'!G54</f>
        <v>23.5</v>
      </c>
      <c r="F98" s="199"/>
      <c r="G98" s="199">
        <f>+'Exhibit F'!H90+'Exhibit G'!H74+'Exhibit I'!I54</f>
        <v>16.100000000000001</v>
      </c>
      <c r="H98" s="199"/>
      <c r="I98" s="199">
        <f>+'Exhibit F'!J90+'Exhibit G'!J74+'Exhibit I'!K54</f>
        <v>14.2</v>
      </c>
      <c r="J98" s="199"/>
      <c r="K98" s="199">
        <f>+'Exhibit F'!L90+'Exhibit G'!L74+'Exhibit I'!M54</f>
        <v>11.699999999999998</v>
      </c>
      <c r="L98" s="199"/>
      <c r="M98" s="199">
        <f>+'Exhibit F'!N90+'Exhibit G'!N74+'Exhibit I'!O54</f>
        <v>12.600000000000001</v>
      </c>
      <c r="N98" s="199"/>
      <c r="O98" s="199">
        <f>+'Exhibit F'!P90+'Exhibit G'!P74+'Exhibit I'!Q54</f>
        <v>19.899999999999991</v>
      </c>
      <c r="P98" s="199"/>
      <c r="Q98" s="199">
        <f>+'Exhibit F'!R90+'Exhibit G'!R74+'Exhibit I'!S54</f>
        <v>12.500000000000007</v>
      </c>
      <c r="R98" s="199"/>
      <c r="S98" s="199">
        <f>+'Exhibit F'!T90+'Exhibit G'!T74+'Exhibit I'!U54</f>
        <v>13.29999999999999</v>
      </c>
      <c r="T98" s="199"/>
      <c r="U98" s="199">
        <f>+'Exhibit F'!V90+'Exhibit G'!V74+'Exhibit I'!W54</f>
        <v>11.700000000000003</v>
      </c>
      <c r="V98" s="199"/>
      <c r="W98" s="199">
        <f>+'Exhibit F'!X90+'Exhibit G'!X74+'Exhibit I'!Y54</f>
        <v>17.600000000000009</v>
      </c>
      <c r="X98" s="199"/>
      <c r="Y98" s="199"/>
      <c r="Z98" s="199"/>
      <c r="AA98" s="200"/>
      <c r="AB98" s="199">
        <f>ROUND(SUM(C98:Y98),1)</f>
        <v>159.30000000000001</v>
      </c>
      <c r="AC98" s="199"/>
      <c r="AD98" s="882"/>
      <c r="AE98" s="199">
        <f>+'Exhibit F'!AF90+'Exhibit G'!AH74+'Exhibit I'!AI54</f>
        <v>166.60000000000002</v>
      </c>
      <c r="AF98" s="1629"/>
      <c r="AG98" s="199"/>
      <c r="AH98" s="199">
        <f t="shared" si="15"/>
        <v>-7.3</v>
      </c>
      <c r="AI98" s="66"/>
      <c r="AJ98" s="384">
        <f t="shared" si="21"/>
        <v>-4.3999999999999997E-2</v>
      </c>
    </row>
    <row r="99" spans="1:45" ht="16.5" customHeight="1">
      <c r="A99" s="360" t="s">
        <v>427</v>
      </c>
      <c r="B99" s="360"/>
      <c r="C99" s="199">
        <f>+'Exhibit F'!D91+'Exhibit G'!D75+'Exhibit H'!B48</f>
        <v>367.6</v>
      </c>
      <c r="D99" s="199"/>
      <c r="E99" s="199">
        <f>+'Exhibit F'!F91+'Exhibit G'!F75+'Exhibit H'!D48</f>
        <v>298.39999999999998</v>
      </c>
      <c r="F99" s="199"/>
      <c r="G99" s="199">
        <f>+'Exhibit F'!H91+'Exhibit G'!H75+'Exhibit H'!F48</f>
        <v>281.40000000000003</v>
      </c>
      <c r="H99" s="199"/>
      <c r="I99" s="199">
        <f>+'Exhibit F'!J91+'Exhibit G'!J75+'Exhibit H'!H48</f>
        <v>277</v>
      </c>
      <c r="J99" s="199"/>
      <c r="K99" s="199">
        <f>+'Exhibit F'!L91+'Exhibit G'!L75+'Exhibit H'!J48</f>
        <v>374.70000000000005</v>
      </c>
      <c r="L99" s="199"/>
      <c r="M99" s="199">
        <f>+'Exhibit F'!N91+'Exhibit G'!N75+'Exhibit H'!L48</f>
        <v>316.79999999999967</v>
      </c>
      <c r="N99" s="199"/>
      <c r="O99" s="199">
        <f>+'Exhibit F'!P91+'Exhibit G'!P75+'Exhibit H'!N48</f>
        <v>345.90000000000015</v>
      </c>
      <c r="P99" s="199"/>
      <c r="Q99" s="199">
        <f>+'Exhibit F'!R91+'Exhibit G'!R75+'Exhibit H'!P48</f>
        <v>209.99999999999994</v>
      </c>
      <c r="R99" s="199"/>
      <c r="S99" s="199">
        <f>+'Exhibit F'!T91+'Exhibit G'!T75+'Exhibit H'!R48</f>
        <v>302.00000000000017</v>
      </c>
      <c r="T99" s="199"/>
      <c r="U99" s="199">
        <f>+'Exhibit F'!V91+'Exhibit G'!V75+'Exhibit H'!T48</f>
        <v>387.00000000000006</v>
      </c>
      <c r="V99" s="199"/>
      <c r="W99" s="199">
        <f>+'Exhibit F'!X91+'Exhibit G'!X75+'Exhibit H'!V48</f>
        <v>296.10000000000008</v>
      </c>
      <c r="X99" s="199"/>
      <c r="Y99" s="199"/>
      <c r="Z99" s="199"/>
      <c r="AA99" s="200"/>
      <c r="AB99" s="199">
        <f t="shared" si="14"/>
        <v>3456.9</v>
      </c>
      <c r="AC99" s="199"/>
      <c r="AD99" s="882"/>
      <c r="AE99" s="199">
        <f>+'Exhibit F'!AF91+'Exhibit G'!AH75+'Exhibit H'!AD48</f>
        <v>3225.8</v>
      </c>
      <c r="AF99" s="1629"/>
      <c r="AG99" s="199"/>
      <c r="AH99" s="199">
        <f t="shared" si="15"/>
        <v>231.1</v>
      </c>
      <c r="AI99" s="66"/>
      <c r="AJ99" s="880">
        <f t="shared" si="21"/>
        <v>7.1999999999999995E-2</v>
      </c>
    </row>
    <row r="100" spans="1:45" ht="16.5" customHeight="1">
      <c r="A100" s="360" t="s">
        <v>428</v>
      </c>
      <c r="B100" s="360"/>
      <c r="C100" s="199">
        <f>+'Exhibit G'!D76+'Exhibit F'!D92+'Exhibit I'!E55</f>
        <v>11.5</v>
      </c>
      <c r="D100" s="199"/>
      <c r="E100" s="199">
        <f>+'Exhibit G'!F76+'Exhibit F'!F92+'Exhibit I'!G55</f>
        <v>9.5</v>
      </c>
      <c r="F100" s="199"/>
      <c r="G100" s="199">
        <f>+'Exhibit G'!H76+'Exhibit F'!H92+'Exhibit I'!I55</f>
        <v>13.300000000000002</v>
      </c>
      <c r="H100" s="199"/>
      <c r="I100" s="199">
        <f>+'Exhibit G'!J76+'Exhibit F'!J92+'Exhibit I'!K55</f>
        <v>13.899999999999999</v>
      </c>
      <c r="J100" s="199"/>
      <c r="K100" s="199">
        <f>+'Exhibit G'!L76+'Exhibit F'!L92+'Exhibit I'!M55</f>
        <v>12.6</v>
      </c>
      <c r="L100" s="199"/>
      <c r="M100" s="199">
        <f>+'Exhibit G'!N76+'Exhibit F'!N92+'Exhibit I'!O55</f>
        <v>16.399999999999991</v>
      </c>
      <c r="N100" s="199"/>
      <c r="O100" s="199">
        <f>+'Exhibit G'!P76+'Exhibit F'!P92+'Exhibit I'!Q55</f>
        <v>11.7</v>
      </c>
      <c r="P100" s="199"/>
      <c r="Q100" s="199">
        <f>+'Exhibit G'!R76+'Exhibit F'!R92+'Exhibit I'!S55</f>
        <v>11.500000000000007</v>
      </c>
      <c r="R100" s="199"/>
      <c r="S100" s="199">
        <f>+'Exhibit G'!T76+'Exhibit F'!T92+'Exhibit I'!U55</f>
        <v>16.599999999999998</v>
      </c>
      <c r="T100" s="199"/>
      <c r="U100" s="199">
        <f>+'Exhibit G'!V76+'Exhibit F'!V92+'Exhibit I'!W55</f>
        <v>12.100000000000005</v>
      </c>
      <c r="V100" s="199"/>
      <c r="W100" s="199">
        <f>+'Exhibit G'!X76+'Exhibit F'!X92+'Exhibit I'!Y55</f>
        <v>8.8999999999999986</v>
      </c>
      <c r="X100" s="199"/>
      <c r="Y100" s="199"/>
      <c r="Z100" s="199"/>
      <c r="AA100" s="200"/>
      <c r="AB100" s="199">
        <f t="shared" si="14"/>
        <v>138</v>
      </c>
      <c r="AC100" s="199"/>
      <c r="AD100" s="882"/>
      <c r="AE100" s="199">
        <f>+'Exhibit G'!AH76+'Exhibit F'!AF92+'Exhibit I'!AI55</f>
        <v>148.4</v>
      </c>
      <c r="AF100" s="1629"/>
      <c r="AG100" s="199"/>
      <c r="AH100" s="199">
        <f t="shared" si="15"/>
        <v>-10.4</v>
      </c>
      <c r="AI100" s="66"/>
      <c r="AJ100" s="384">
        <f t="shared" si="21"/>
        <v>-7.0000000000000007E-2</v>
      </c>
    </row>
    <row r="101" spans="1:45" ht="16.5" customHeight="1">
      <c r="A101" s="360" t="s">
        <v>429</v>
      </c>
      <c r="B101" s="360"/>
      <c r="C101" s="199">
        <f>+'Exhibit F'!D93+'Exhibit G'!D77+'Exhibit I'!E56</f>
        <v>16.3</v>
      </c>
      <c r="D101" s="199"/>
      <c r="E101" s="199">
        <f>+'Exhibit F'!F93+'Exhibit G'!F77+'Exhibit I'!G56</f>
        <v>2.4999999999999987</v>
      </c>
      <c r="F101" s="199"/>
      <c r="G101" s="199">
        <f>+'Exhibit F'!H93+'Exhibit G'!H77+'Exhibit I'!I56</f>
        <v>1.7000000000000006</v>
      </c>
      <c r="H101" s="199"/>
      <c r="I101" s="199">
        <f>+'Exhibit F'!J93+'Exhibit G'!J77+'Exhibit I'!K56</f>
        <v>46.099999999999994</v>
      </c>
      <c r="J101" s="199"/>
      <c r="K101" s="199">
        <f>+'Exhibit F'!L93+'Exhibit G'!L77+'Exhibit I'!M56</f>
        <v>21.400000000000013</v>
      </c>
      <c r="L101" s="199"/>
      <c r="M101" s="199">
        <f>+'Exhibit F'!N93+'Exhibit G'!N77+'Exhibit I'!O56</f>
        <v>3.3000000000000016</v>
      </c>
      <c r="N101" s="199"/>
      <c r="O101" s="199">
        <f>+'Exhibit F'!P93+'Exhibit G'!P77+'Exhibit I'!Q56</f>
        <v>0.89999999999999947</v>
      </c>
      <c r="P101" s="199"/>
      <c r="Q101" s="199">
        <f>+'Exhibit F'!R93+'Exhibit G'!R77+'Exhibit I'!S56</f>
        <v>6.8000000000000087</v>
      </c>
      <c r="R101" s="199"/>
      <c r="S101" s="199">
        <f>+'Exhibit F'!T93+'Exhibit G'!T77+'Exhibit I'!U56</f>
        <v>3.4999999999999964</v>
      </c>
      <c r="T101" s="199"/>
      <c r="U101" s="199">
        <f>+'Exhibit F'!V93+'Exhibit G'!V77+'Exhibit I'!W56</f>
        <v>17.500000000000007</v>
      </c>
      <c r="V101" s="199"/>
      <c r="W101" s="199">
        <f>+'Exhibit F'!X93+'Exhibit G'!X77+'Exhibit I'!Y56</f>
        <v>26.699999999999996</v>
      </c>
      <c r="X101" s="199"/>
      <c r="Y101" s="199"/>
      <c r="Z101" s="199"/>
      <c r="AA101" s="200"/>
      <c r="AB101" s="199">
        <f t="shared" si="14"/>
        <v>146.69999999999999</v>
      </c>
      <c r="AC101" s="199"/>
      <c r="AD101" s="882"/>
      <c r="AE101" s="199">
        <f>+'Exhibit F'!AF93+'Exhibit G'!AH77+'Exhibit I'!AI56</f>
        <v>90.899999999999991</v>
      </c>
      <c r="AF101" s="1629"/>
      <c r="AG101" s="199"/>
      <c r="AH101" s="199">
        <f t="shared" si="15"/>
        <v>55.8</v>
      </c>
      <c r="AI101" s="66"/>
      <c r="AJ101" s="880">
        <f t="shared" si="21"/>
        <v>0.61399999999999999</v>
      </c>
    </row>
    <row r="102" spans="1:45" ht="16.5" customHeight="1">
      <c r="A102" s="360" t="s">
        <v>430</v>
      </c>
      <c r="B102" s="360"/>
      <c r="C102" s="199">
        <f>+'Exhibit F'!D94+'Exhibit G'!D78</f>
        <v>1.0999999999999999</v>
      </c>
      <c r="D102" s="199"/>
      <c r="E102" s="199">
        <f>+'Exhibit F'!F94+'Exhibit G'!F78</f>
        <v>2</v>
      </c>
      <c r="F102" s="199"/>
      <c r="G102" s="199">
        <f>+'Exhibit F'!H94+'Exhibit G'!H78</f>
        <v>0.79999999999999982</v>
      </c>
      <c r="H102" s="199"/>
      <c r="I102" s="199">
        <f>+'Exhibit F'!J94+'Exhibit G'!J78</f>
        <v>1.8000000000000007</v>
      </c>
      <c r="J102" s="199"/>
      <c r="K102" s="199">
        <f>+'Exhibit F'!L94+'Exhibit G'!L78</f>
        <v>1</v>
      </c>
      <c r="L102" s="199"/>
      <c r="M102" s="199">
        <f>+'Exhibit F'!N94+'Exhibit G'!N78</f>
        <v>0.70000000000000018</v>
      </c>
      <c r="N102" s="199"/>
      <c r="O102" s="199">
        <f>+'Exhibit F'!P94+'Exhibit G'!P78</f>
        <v>0.90000000000000036</v>
      </c>
      <c r="P102" s="199"/>
      <c r="Q102" s="199">
        <f>+'Exhibit F'!R94+'Exhibit G'!R78</f>
        <v>0.79999999999999893</v>
      </c>
      <c r="R102" s="199"/>
      <c r="S102" s="199">
        <f>+'Exhibit F'!T94+'Exhibit G'!T78</f>
        <v>1.2000000000000011</v>
      </c>
      <c r="T102" s="199"/>
      <c r="U102" s="199">
        <f>+'Exhibit F'!V94+'Exhibit G'!V78</f>
        <v>3.1999999999999993</v>
      </c>
      <c r="V102" s="199"/>
      <c r="W102" s="199">
        <f>+'Exhibit F'!X94+'Exhibit G'!X78</f>
        <v>0.90000000000000036</v>
      </c>
      <c r="X102" s="199"/>
      <c r="Y102" s="199"/>
      <c r="Z102" s="199"/>
      <c r="AA102" s="200"/>
      <c r="AB102" s="199">
        <f t="shared" si="14"/>
        <v>14.4</v>
      </c>
      <c r="AC102" s="199"/>
      <c r="AD102" s="882"/>
      <c r="AE102" s="199">
        <f>+'Exhibit F'!AF94+'Exhibit G'!AH78</f>
        <v>37.6</v>
      </c>
      <c r="AF102" s="1629"/>
      <c r="AG102" s="199"/>
      <c r="AH102" s="199">
        <f t="shared" si="15"/>
        <v>-23.2</v>
      </c>
      <c r="AI102" s="66"/>
      <c r="AJ102" s="384">
        <f t="shared" si="21"/>
        <v>-0.61699999999999999</v>
      </c>
    </row>
    <row r="103" spans="1:45" ht="16.5" customHeight="1">
      <c r="A103" s="360" t="s">
        <v>431</v>
      </c>
      <c r="B103" s="360"/>
      <c r="C103" s="199">
        <f>+'Exhibit F'!D95+'Exhibit G'!D79+'Exhibit I'!E57+'Exhibit H'!B49</f>
        <v>80.400000000000006</v>
      </c>
      <c r="D103" s="199"/>
      <c r="E103" s="199">
        <f>+'Exhibit F'!F95+'Exhibit G'!F79+'Exhibit I'!G57+'Exhibit H'!D49</f>
        <v>85.3</v>
      </c>
      <c r="F103" s="199"/>
      <c r="G103" s="199">
        <f>+'Exhibit F'!H95+'Exhibit G'!H79+'Exhibit I'!I57+'Exhibit H'!F49</f>
        <v>47.400000000000013</v>
      </c>
      <c r="H103" s="199"/>
      <c r="I103" s="199">
        <f>+'Exhibit F'!J95+'Exhibit G'!J79+'Exhibit I'!K57+'Exhibit H'!H49</f>
        <v>93.199999999999974</v>
      </c>
      <c r="J103" s="199"/>
      <c r="K103" s="199">
        <f>+'Exhibit F'!L95+'Exhibit G'!L79+'Exhibit I'!M57+'Exhibit H'!J49</f>
        <v>67.900000000000006</v>
      </c>
      <c r="L103" s="199"/>
      <c r="M103" s="199">
        <f>+'Exhibit F'!N95+'Exhibit G'!N79+'Exhibit I'!O57+'Exhibit H'!L49</f>
        <v>49.199999999999989</v>
      </c>
      <c r="N103" s="199"/>
      <c r="O103" s="199">
        <f>+'Exhibit F'!P95+'Exhibit G'!P79+'Exhibit I'!Q57+'Exhibit H'!N49</f>
        <v>59.799999999999926</v>
      </c>
      <c r="P103" s="199"/>
      <c r="Q103" s="199">
        <f>+'Exhibit F'!R95+'Exhibit G'!R79+'Exhibit I'!S57+'Exhibit H'!P49</f>
        <v>41.900000000000084</v>
      </c>
      <c r="R103" s="199"/>
      <c r="S103" s="199">
        <f>+'Exhibit F'!T95+'Exhibit G'!T79+'Exhibit I'!U57+'Exhibit H'!R49</f>
        <v>124.29999999999997</v>
      </c>
      <c r="T103" s="199"/>
      <c r="U103" s="199">
        <f>+'Exhibit F'!V95+'Exhibit G'!V79+'Exhibit I'!W57+'Exhibit H'!T49</f>
        <v>-72.400000000000006</v>
      </c>
      <c r="V103" s="199"/>
      <c r="W103" s="199">
        <f>+'Exhibit F'!X95+'Exhibit G'!X79+'Exhibit I'!Y57+'Exhibit H'!V49</f>
        <v>52.800000000000026</v>
      </c>
      <c r="X103" s="199"/>
      <c r="Y103" s="199"/>
      <c r="Z103" s="199"/>
      <c r="AA103" s="200"/>
      <c r="AB103" s="199">
        <f t="shared" si="14"/>
        <v>629.79999999999995</v>
      </c>
      <c r="AC103" s="199"/>
      <c r="AD103" s="882"/>
      <c r="AE103" s="199">
        <f>+'Exhibit F'!AF95+'Exhibit G'!AH79+'Exhibit I'!AI57+'Exhibit H'!AD49</f>
        <v>642.40000000000009</v>
      </c>
      <c r="AF103" s="1629"/>
      <c r="AG103" s="199"/>
      <c r="AH103" s="199">
        <f t="shared" si="15"/>
        <v>-12.6</v>
      </c>
      <c r="AI103" s="66"/>
      <c r="AJ103" s="880">
        <f t="shared" si="21"/>
        <v>-0.02</v>
      </c>
    </row>
    <row r="104" spans="1:45" ht="16.5" customHeight="1">
      <c r="A104" s="360" t="s">
        <v>432</v>
      </c>
      <c r="B104" s="360"/>
      <c r="C104" s="199">
        <f>+'Exhibit F'!D96+'Exhibit G'!D80+'Exhibit I'!E58+'Exhibit H'!B50</f>
        <v>0.89999999999999991</v>
      </c>
      <c r="D104" s="199"/>
      <c r="E104" s="199">
        <f>+'Exhibit F'!F96+'Exhibit G'!F80+'Exhibit I'!G58+'Exhibit H'!D50</f>
        <v>0.70000000000000007</v>
      </c>
      <c r="F104" s="199"/>
      <c r="G104" s="199">
        <f>+'Exhibit F'!H96+'Exhibit G'!H80+'Exhibit I'!I58+'Exhibit H'!F50</f>
        <v>2.1</v>
      </c>
      <c r="H104" s="199"/>
      <c r="I104" s="199">
        <f>+'Exhibit F'!J96+'Exhibit G'!J80+'Exhibit I'!K58+'Exhibit H'!H50</f>
        <v>1.0999999999999994</v>
      </c>
      <c r="J104" s="199"/>
      <c r="K104" s="199">
        <f>+'Exhibit F'!L96+'Exhibit G'!L80+'Exhibit I'!M58+'Exhibit H'!J50</f>
        <v>2.3000000000000007</v>
      </c>
      <c r="L104" s="199"/>
      <c r="M104" s="199">
        <f>+'Exhibit F'!N96+'Exhibit G'!N80+'Exhibit I'!O58+'Exhibit H'!L50</f>
        <v>2.6</v>
      </c>
      <c r="N104" s="199"/>
      <c r="O104" s="199">
        <f>+'Exhibit F'!P96+'Exhibit G'!P80+'Exhibit I'!Q58+'Exhibit H'!N50</f>
        <v>2.3999999999999995</v>
      </c>
      <c r="P104" s="199"/>
      <c r="Q104" s="199">
        <f>+'Exhibit F'!R96+'Exhibit G'!R80+'Exhibit I'!S58+'Exhibit H'!P50</f>
        <v>2.7000000000000011</v>
      </c>
      <c r="R104" s="199"/>
      <c r="S104" s="199">
        <f>+'Exhibit F'!T96+'Exhibit G'!T80+'Exhibit I'!U58+'Exhibit H'!R50</f>
        <v>1.5999999999999996</v>
      </c>
      <c r="T104" s="199"/>
      <c r="U104" s="199">
        <f>+'Exhibit F'!V96+'Exhibit G'!V80+'Exhibit I'!W58+'Exhibit H'!T50</f>
        <v>1.4000000000000004</v>
      </c>
      <c r="V104" s="199"/>
      <c r="W104" s="199">
        <f>+'Exhibit F'!X96+'Exhibit G'!X80+'Exhibit I'!Y58+'Exhibit H'!V50</f>
        <v>2.3000000000000007</v>
      </c>
      <c r="X104" s="199"/>
      <c r="Y104" s="199"/>
      <c r="Z104" s="199"/>
      <c r="AA104" s="200"/>
      <c r="AB104" s="199">
        <f t="shared" si="14"/>
        <v>20.100000000000001</v>
      </c>
      <c r="AC104" s="199"/>
      <c r="AD104" s="882"/>
      <c r="AE104" s="199">
        <f>+'Exhibit F'!AF96+'Exhibit G'!AH80+'Exhibit I'!AI58+'Exhibit H'!AD50</f>
        <v>16.3</v>
      </c>
      <c r="AF104" s="1629"/>
      <c r="AG104" s="199"/>
      <c r="AH104" s="199">
        <f t="shared" si="15"/>
        <v>3.8</v>
      </c>
      <c r="AI104" s="66"/>
      <c r="AJ104" s="384">
        <f t="shared" si="21"/>
        <v>0.23300000000000001</v>
      </c>
    </row>
    <row r="105" spans="1:45" ht="16.5" customHeight="1">
      <c r="A105" s="360" t="s">
        <v>433</v>
      </c>
      <c r="B105" s="360"/>
      <c r="C105" s="199">
        <f>+'Exhibit G'!D81</f>
        <v>-16.5</v>
      </c>
      <c r="D105" s="199"/>
      <c r="E105" s="199">
        <f>+'Exhibit G'!F81</f>
        <v>41.8</v>
      </c>
      <c r="F105" s="199"/>
      <c r="G105" s="199">
        <f>+'Exhibit G'!H81</f>
        <v>25.299999999999997</v>
      </c>
      <c r="H105" s="199"/>
      <c r="I105" s="199">
        <f>+'Exhibit G'!J81</f>
        <v>36.300000000000011</v>
      </c>
      <c r="J105" s="199"/>
      <c r="K105" s="199">
        <f>+'Exhibit G'!L81</f>
        <v>156.09999999999997</v>
      </c>
      <c r="L105" s="199"/>
      <c r="M105" s="199">
        <f>+'Exhibit G'!N81</f>
        <v>340.20000000000016</v>
      </c>
      <c r="N105" s="199"/>
      <c r="O105" s="199">
        <f>+'Exhibit G'!P81</f>
        <v>142.0999999999998</v>
      </c>
      <c r="P105" s="199"/>
      <c r="Q105" s="199">
        <f>+'Exhibit G'!R81</f>
        <v>28.300000000000068</v>
      </c>
      <c r="R105" s="199"/>
      <c r="S105" s="199">
        <f>+'Exhibit G'!T81</f>
        <v>13.299999999999955</v>
      </c>
      <c r="T105" s="199"/>
      <c r="U105" s="199">
        <f>+'Exhibit G'!V81</f>
        <v>263.4000000000002</v>
      </c>
      <c r="V105" s="199"/>
      <c r="W105" s="199">
        <f>+'Exhibit G'!X81</f>
        <v>288.29999999999973</v>
      </c>
      <c r="X105" s="199"/>
      <c r="Y105" s="199"/>
      <c r="Z105" s="199"/>
      <c r="AA105" s="200"/>
      <c r="AB105" s="199">
        <f t="shared" si="14"/>
        <v>1318.6</v>
      </c>
      <c r="AC105" s="199"/>
      <c r="AD105" s="882"/>
      <c r="AE105" s="199">
        <f>+'Exhibit G'!AH81</f>
        <v>1305.2</v>
      </c>
      <c r="AF105" s="1629"/>
      <c r="AG105" s="199"/>
      <c r="AH105" s="199">
        <f t="shared" si="15"/>
        <v>13.4</v>
      </c>
      <c r="AI105" s="66"/>
      <c r="AJ105" s="384">
        <f>ROUND(IF(AE105=0,0,AH105/ABS(AE105)),3)</f>
        <v>0.01</v>
      </c>
    </row>
    <row r="106" spans="1:45" s="134" customFormat="1" ht="16.5" customHeight="1">
      <c r="A106" s="88" t="s">
        <v>434</v>
      </c>
      <c r="B106" s="61"/>
      <c r="C106" s="687">
        <f>ROUND(SUM(C64:C105),1)</f>
        <v>2535</v>
      </c>
      <c r="D106" s="429"/>
      <c r="E106" s="687">
        <f>ROUND(SUM(E64:E105),1)</f>
        <v>3629.4</v>
      </c>
      <c r="F106" s="429"/>
      <c r="G106" s="687">
        <f>ROUND(SUM(G64:G105),1)</f>
        <v>2323.6</v>
      </c>
      <c r="H106" s="13"/>
      <c r="I106" s="687">
        <f>ROUND(SUM(I64:I105),1)</f>
        <v>2796</v>
      </c>
      <c r="J106" s="13"/>
      <c r="K106" s="687">
        <f>ROUND(SUM(K64:K105),1)</f>
        <v>2444.4</v>
      </c>
      <c r="L106" s="13"/>
      <c r="M106" s="687">
        <f>ROUND(SUM(M64:M105),1)</f>
        <v>3275.6</v>
      </c>
      <c r="N106" s="13"/>
      <c r="O106" s="687">
        <f>ROUND(SUM(O64:O105),1)</f>
        <v>2926.9</v>
      </c>
      <c r="P106" s="13"/>
      <c r="Q106" s="687">
        <f>ROUND(SUM(Q64:Q105),1)</f>
        <v>2315.8000000000002</v>
      </c>
      <c r="R106" s="13"/>
      <c r="S106" s="687">
        <f>ROUND(SUM(S64:S105),1)</f>
        <v>2577</v>
      </c>
      <c r="T106" s="13"/>
      <c r="U106" s="687">
        <f>ROUND(SUM(U64:U105),1)</f>
        <v>2727</v>
      </c>
      <c r="V106" s="13"/>
      <c r="W106" s="687">
        <f>ROUND(SUM(W64:W105),1)</f>
        <v>2614.5</v>
      </c>
      <c r="X106" s="40"/>
      <c r="Y106" s="687">
        <f>ROUND(SUM(Y64:Y105),1)</f>
        <v>0</v>
      </c>
      <c r="Z106" s="40"/>
      <c r="AA106" s="73"/>
      <c r="AB106" s="687">
        <f>ROUND(SUM(AB64:AB105),1)</f>
        <v>30165.200000000001</v>
      </c>
      <c r="AC106" s="13"/>
      <c r="AD106" s="14"/>
      <c r="AE106" s="687">
        <f>ROUND(SUM(AE64:AE105),1)</f>
        <v>29755.4</v>
      </c>
      <c r="AF106" s="79"/>
      <c r="AG106" s="883"/>
      <c r="AH106" s="687">
        <f>ROUND(SUM(AH64:AH105),1)</f>
        <v>409.8</v>
      </c>
      <c r="AI106" s="13"/>
      <c r="AJ106" s="1041">
        <f>ROUND(IF(AE106=0,0,AH106/ABS(AE106)),3)</f>
        <v>1.4E-2</v>
      </c>
      <c r="AL106" s="62"/>
    </row>
    <row r="107" spans="1:45" s="134" customFormat="1" ht="16.5" customHeight="1">
      <c r="A107" s="192"/>
      <c r="B107" s="19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t="s">
        <v>103</v>
      </c>
      <c r="Z107" s="202"/>
      <c r="AA107" s="203"/>
      <c r="AB107" s="202" t="s">
        <v>103</v>
      </c>
      <c r="AC107" s="202"/>
      <c r="AD107" s="203"/>
      <c r="AE107" s="202"/>
      <c r="AF107" s="1630"/>
      <c r="AG107" s="202"/>
      <c r="AH107" s="202"/>
      <c r="AI107" s="192"/>
      <c r="AJ107" s="78"/>
      <c r="AL107" s="62"/>
    </row>
    <row r="108" spans="1:45" ht="16.5" customHeight="1">
      <c r="A108" s="66" t="s">
        <v>120</v>
      </c>
      <c r="B108" s="66"/>
      <c r="C108" s="201">
        <f>+'Exhibit F'!D99+'Exhibit G'!D84+'Exhibit H'!B53+'Exhibit I'!E61</f>
        <v>8295.7999999999993</v>
      </c>
      <c r="D108" s="199"/>
      <c r="E108" s="201">
        <f>+'Exhibit F'!F99+'Exhibit G'!F84+'Exhibit H'!D53+'Exhibit I'!G61</f>
        <v>7571.9</v>
      </c>
      <c r="F108" s="199"/>
      <c r="G108" s="201">
        <f>+'Exhibit F'!H99+'Exhibit G'!H84+'Exhibit H'!F53+'Exhibit I'!I61</f>
        <v>7928.6</v>
      </c>
      <c r="H108" s="199"/>
      <c r="I108" s="201">
        <f>+'Exhibit F'!J99+'Exhibit G'!J84+'Exhibit H'!H53+'Exhibit I'!K61</f>
        <v>7366.7000000000025</v>
      </c>
      <c r="J108" s="199"/>
      <c r="K108" s="201">
        <f>+'Exhibit F'!L99+'Exhibit G'!L84+'Exhibit H'!J53+'Exhibit I'!M61</f>
        <v>10150.000000000002</v>
      </c>
      <c r="L108" s="199"/>
      <c r="M108" s="201">
        <f>+'Exhibit F'!N99+'Exhibit G'!N84+'Exhibit H'!L53+'Exhibit I'!O61</f>
        <v>7673.99999999999</v>
      </c>
      <c r="N108" s="199"/>
      <c r="O108" s="201">
        <f>+'Exhibit F'!P99+'Exhibit G'!P84+'Exhibit H'!N53+'Exhibit I'!Q61</f>
        <v>7592.2000000000007</v>
      </c>
      <c r="P108" s="199"/>
      <c r="Q108" s="201">
        <f>+'Exhibit F'!R99+'Exhibit G'!R84+'Exhibit H'!P53+'Exhibit I'!S61</f>
        <v>8324.7999999999993</v>
      </c>
      <c r="R108" s="199"/>
      <c r="S108" s="201">
        <f>+'Exhibit F'!T99+'Exhibit G'!T84+'Exhibit H'!R53+'Exhibit I'!U61</f>
        <v>8908.6</v>
      </c>
      <c r="T108" s="199"/>
      <c r="U108" s="201">
        <f>+'Exhibit F'!V99+'Exhibit G'!V84+'Exhibit H'!T53+'Exhibit I'!W61</f>
        <v>6569.4</v>
      </c>
      <c r="V108" s="199"/>
      <c r="W108" s="201">
        <f>+'Exhibit F'!X99+'Exhibit G'!X84+'Exhibit H'!V53+'Exhibit I'!Y61</f>
        <v>10002.499999999998</v>
      </c>
      <c r="X108" s="199"/>
      <c r="Y108" s="201"/>
      <c r="Z108" s="199"/>
      <c r="AA108" s="200"/>
      <c r="AB108" s="201">
        <f>ROUND(SUM(C108:Y108),1)</f>
        <v>90384.5</v>
      </c>
      <c r="AC108" s="199"/>
      <c r="AD108" s="882"/>
      <c r="AE108" s="201">
        <f>+'Exhibit F'!AF99+'Exhibit G'!AH84+'Exhibit H'!AD53+'Exhibit I'!AI61</f>
        <v>87137.300000000017</v>
      </c>
      <c r="AF108" s="1629"/>
      <c r="AG108" s="199"/>
      <c r="AH108" s="201">
        <f>ROUND(SUM(AB108-AE108),1)</f>
        <v>3247.2</v>
      </c>
      <c r="AI108" s="66"/>
      <c r="AJ108" s="884">
        <f>ROUND(IF(AE108=0,0,AH108/ABS(AE108)),3)</f>
        <v>3.6999999999999998E-2</v>
      </c>
    </row>
    <row r="109" spans="1:45" ht="16.5" customHeight="1">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629"/>
      <c r="AG109" s="199"/>
      <c r="AH109" s="199"/>
      <c r="AI109" s="66"/>
      <c r="AJ109" s="1043"/>
    </row>
    <row r="110" spans="1:45" ht="16.5" customHeight="1">
      <c r="A110" s="3" t="s">
        <v>435</v>
      </c>
      <c r="B110" s="374"/>
      <c r="C110" s="367">
        <f>ROUND(SUM(C108+C106+C60),1)</f>
        <v>21742</v>
      </c>
      <c r="D110" s="13"/>
      <c r="E110" s="367">
        <f>ROUND(SUM(E108+E106+E60),1)</f>
        <v>17391.3</v>
      </c>
      <c r="F110" s="13"/>
      <c r="G110" s="367">
        <f>ROUND(SUM(G108+G106+G60),1)</f>
        <v>23025</v>
      </c>
      <c r="H110" s="13"/>
      <c r="I110" s="367">
        <f>ROUND(SUM(I108+I106+I60),1)</f>
        <v>16442</v>
      </c>
      <c r="J110" s="13"/>
      <c r="K110" s="367">
        <f>ROUND(SUM(K108+K106+K60),1)</f>
        <v>18345.900000000001</v>
      </c>
      <c r="L110" s="13"/>
      <c r="M110" s="367">
        <f>ROUND(SUM(M108+M106+M60),1)</f>
        <v>23669.9</v>
      </c>
      <c r="N110" s="13"/>
      <c r="O110" s="367">
        <f>ROUND(SUM(O108+O106+O60),1)</f>
        <v>14468.1</v>
      </c>
      <c r="P110" s="13"/>
      <c r="Q110" s="367">
        <f>ROUND(SUM(Q108+Q106+Q60),1)</f>
        <v>16464.5</v>
      </c>
      <c r="R110" s="13"/>
      <c r="S110" s="367">
        <f>ROUND(SUM(S108+S106+S60),1)</f>
        <v>26977.8</v>
      </c>
      <c r="T110" s="13"/>
      <c r="U110" s="367">
        <f>ROUND(SUM(U108+U106+U60),1)</f>
        <v>21464.2</v>
      </c>
      <c r="V110" s="13"/>
      <c r="W110" s="367">
        <f>ROUND(SUM(W108+W106+W60),1)</f>
        <v>20875.5</v>
      </c>
      <c r="X110" s="40"/>
      <c r="Y110" s="367">
        <f>ROUND(SUM(Y108+Y106+Y60),1)</f>
        <v>0</v>
      </c>
      <c r="Z110" s="1244"/>
      <c r="AA110" s="3"/>
      <c r="AB110" s="367">
        <f>ROUND(SUM(AB108+AB106+AB60),1)</f>
        <v>220866.2</v>
      </c>
      <c r="AC110" s="13"/>
      <c r="AD110" s="14"/>
      <c r="AE110" s="367">
        <f>ROUND(SUM(AE108+AE106+AE60),1)</f>
        <v>209143</v>
      </c>
      <c r="AF110" s="79"/>
      <c r="AG110" s="883"/>
      <c r="AH110" s="367">
        <f>ROUND(SUM(AH108+AH106+AH60),1)</f>
        <v>11723.2</v>
      </c>
      <c r="AI110" s="13"/>
      <c r="AJ110" s="881">
        <f>ROUND(IF(AE110=0,0,AH110/ABS(AE110)),3)</f>
        <v>5.6000000000000001E-2</v>
      </c>
      <c r="AK110" s="134"/>
      <c r="AM110" s="134"/>
      <c r="AN110" s="134"/>
      <c r="AO110" s="134"/>
      <c r="AP110" s="134"/>
      <c r="AQ110" s="134"/>
      <c r="AR110" s="134"/>
      <c r="AS110" s="134"/>
    </row>
    <row r="111" spans="1:45" ht="16.5" customHeight="1">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629"/>
      <c r="AG111" s="199"/>
      <c r="AH111" s="274"/>
      <c r="AI111" s="66"/>
      <c r="AJ111" s="278"/>
    </row>
    <row r="112" spans="1:45" ht="16.5" customHeight="1">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629"/>
      <c r="AG112" s="199"/>
      <c r="AH112" s="274"/>
      <c r="AI112" s="66"/>
      <c r="AJ112" s="278"/>
    </row>
    <row r="113" spans="1:37" ht="16.5" customHeight="1">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629"/>
      <c r="AG113" s="199"/>
      <c r="AH113" s="199"/>
      <c r="AI113" s="66"/>
      <c r="AJ113" s="293"/>
    </row>
    <row r="114" spans="1:37" ht="16.5" customHeight="1">
      <c r="A114" s="773" t="s">
        <v>124</v>
      </c>
      <c r="B114" s="66"/>
      <c r="C114" s="199">
        <f>+'Exhibit F'!D105+'Exhibit G'!D90+'Exhibit I'!E67</f>
        <v>2520.4</v>
      </c>
      <c r="D114" s="199"/>
      <c r="E114" s="199">
        <f>+'Exhibit F'!F105+'Exhibit G'!F90+'Exhibit I'!G67</f>
        <v>5840.7</v>
      </c>
      <c r="F114" s="199"/>
      <c r="G114" s="199">
        <f>+'Exhibit F'!H105+'Exhibit G'!H90+'Exhibit I'!I67</f>
        <v>3834.6</v>
      </c>
      <c r="H114" s="199"/>
      <c r="I114" s="199">
        <f>+'Exhibit F'!J105+'Exhibit G'!J90+'Exhibit I'!K67</f>
        <v>1803.8999999999999</v>
      </c>
      <c r="J114" s="199"/>
      <c r="K114" s="199">
        <f>+'Exhibit F'!L105+'Exhibit G'!L90+'Exhibit I'!M67</f>
        <v>3420.1999999999989</v>
      </c>
      <c r="L114" s="199"/>
      <c r="M114" s="199">
        <f>+'Exhibit F'!N105+'Exhibit G'!N90+'Exhibit I'!O67</f>
        <v>6086.1</v>
      </c>
      <c r="N114" s="199"/>
      <c r="O114" s="199">
        <f>+'Exhibit F'!P105+'Exhibit G'!P90+'Exhibit I'!Q67</f>
        <v>2131.400000000001</v>
      </c>
      <c r="P114" s="199"/>
      <c r="Q114" s="199">
        <f>+'Exhibit F'!R105+'Exhibit G'!R90+'Exhibit I'!S67</f>
        <v>2823.9000000000005</v>
      </c>
      <c r="R114" s="199"/>
      <c r="S114" s="199">
        <f>+'Exhibit F'!T105+'Exhibit G'!T90+'Exhibit I'!U67</f>
        <v>3690.7999999999988</v>
      </c>
      <c r="T114" s="199"/>
      <c r="U114" s="199">
        <f>+'Exhibit F'!V105+'Exhibit G'!V90+'Exhibit I'!W67</f>
        <v>4265.4999999999973</v>
      </c>
      <c r="V114" s="199"/>
      <c r="W114" s="199">
        <f>+'Exhibit F'!X105+'Exhibit G'!X90+'Exhibit I'!Y67</f>
        <v>2194.7000000000016</v>
      </c>
      <c r="X114" s="199"/>
      <c r="Y114" s="199"/>
      <c r="Z114" s="199"/>
      <c r="AA114" s="200"/>
      <c r="AB114" s="274">
        <f>ROUND(SUM(C114:Y114),1)</f>
        <v>38612.199999999997</v>
      </c>
      <c r="AC114" s="199"/>
      <c r="AD114" s="882"/>
      <c r="AE114" s="274">
        <f>+'Exhibit F'!AF105+'Exhibit G'!AH90+'Exhibit I'!AI67</f>
        <v>37105.699999999997</v>
      </c>
      <c r="AF114" s="1629"/>
      <c r="AG114" s="199"/>
      <c r="AH114" s="199">
        <f>ROUND(SUM(AB114-AE114),1)</f>
        <v>1506.5</v>
      </c>
      <c r="AI114" s="66"/>
      <c r="AJ114" s="384">
        <f>ROUND(IF(AE114=0,0,AH114/ABS(AE114)),3)</f>
        <v>4.1000000000000002E-2</v>
      </c>
    </row>
    <row r="115" spans="1:37" ht="16.5" customHeight="1">
      <c r="A115" s="773" t="s">
        <v>125</v>
      </c>
      <c r="B115" s="66"/>
      <c r="C115" s="199">
        <f>+'Exhibit F'!D106+'Exhibit G'!D91+'Exhibit I'!E68</f>
        <v>7.7</v>
      </c>
      <c r="D115" s="199"/>
      <c r="E115" s="199">
        <f>+'Exhibit F'!F106+'Exhibit G'!F91+'Exhibit I'!G68</f>
        <v>7.2999999999999989</v>
      </c>
      <c r="F115" s="199"/>
      <c r="G115" s="199">
        <f>+'Exhibit F'!H106+'Exhibit G'!H91+'Exhibit I'!I68</f>
        <v>33.100000000000009</v>
      </c>
      <c r="H115" s="199"/>
      <c r="I115" s="199">
        <f>+'Exhibit F'!J106+'Exhibit G'!J91+'Exhibit I'!K68</f>
        <v>49.099999999999987</v>
      </c>
      <c r="J115" s="199"/>
      <c r="K115" s="199">
        <f>+'Exhibit F'!L106+'Exhibit G'!L91+'Exhibit I'!M68</f>
        <v>148.79999999999998</v>
      </c>
      <c r="L115" s="199"/>
      <c r="M115" s="199">
        <f>+'Exhibit F'!N106+'Exhibit G'!N91+'Exhibit I'!O68</f>
        <v>10.300000000000008</v>
      </c>
      <c r="N115" s="199"/>
      <c r="O115" s="199">
        <f>+'Exhibit F'!P106+'Exhibit G'!P91+'Exhibit I'!Q68</f>
        <v>47</v>
      </c>
      <c r="P115" s="199"/>
      <c r="Q115" s="199">
        <f>+'Exhibit F'!R106+'Exhibit G'!R91+'Exhibit I'!S68</f>
        <v>259.2</v>
      </c>
      <c r="R115" s="199"/>
      <c r="S115" s="199">
        <f>+'Exhibit F'!T106+'Exhibit G'!T91+'Exhibit I'!U68</f>
        <v>79.299999999999983</v>
      </c>
      <c r="T115" s="199"/>
      <c r="U115" s="199">
        <f>+'Exhibit F'!V106+'Exhibit G'!V91+'Exhibit I'!W68</f>
        <v>147.29999999999998</v>
      </c>
      <c r="V115" s="199"/>
      <c r="W115" s="199">
        <f>+'Exhibit F'!X106+'Exhibit G'!X91+'Exhibit I'!Y68</f>
        <v>42.300000000000026</v>
      </c>
      <c r="X115" s="199"/>
      <c r="Y115" s="199"/>
      <c r="Z115" s="199"/>
      <c r="AA115" s="200"/>
      <c r="AB115" s="274">
        <f t="shared" ref="AB115:AB122" si="22">ROUND(SUM(C115:Y115),1)</f>
        <v>831.4</v>
      </c>
      <c r="AC115" s="199"/>
      <c r="AD115" s="882"/>
      <c r="AE115" s="274">
        <f>+'Exhibit F'!AF106+'Exhibit G'!AH91+'Exhibit I'!AI68</f>
        <v>775.4</v>
      </c>
      <c r="AF115" s="1629"/>
      <c r="AG115" s="199"/>
      <c r="AH115" s="199">
        <f t="shared" ref="AH115:AH122" si="23">ROUND(SUM(AB115-AE115),1)</f>
        <v>56</v>
      </c>
      <c r="AI115" s="66"/>
      <c r="AJ115" s="880">
        <f>ROUND(IF(AE115=0,0,AH115/ABS(AE115)),3)</f>
        <v>7.1999999999999995E-2</v>
      </c>
    </row>
    <row r="116" spans="1:37" ht="16.5" customHeight="1">
      <c r="A116" s="773" t="s">
        <v>126</v>
      </c>
      <c r="B116" s="66"/>
      <c r="C116" s="199">
        <f>+'Exhibit F'!D107+'Exhibit G'!D92+'Exhibit I'!E69</f>
        <v>68.099999999999994</v>
      </c>
      <c r="D116" s="199"/>
      <c r="E116" s="199">
        <f>+'Exhibit F'!F107+'Exhibit G'!F92+'Exhibit I'!G69</f>
        <v>108.19999999999999</v>
      </c>
      <c r="F116" s="199"/>
      <c r="G116" s="199">
        <f>+'Exhibit F'!H107+'Exhibit G'!H92+'Exhibit I'!I69</f>
        <v>460.90000000000003</v>
      </c>
      <c r="H116" s="199"/>
      <c r="I116" s="199">
        <f>+'Exhibit F'!J107+'Exhibit G'!J92+'Exhibit I'!K69</f>
        <v>100.5</v>
      </c>
      <c r="J116" s="199"/>
      <c r="K116" s="199">
        <f>+'Exhibit F'!L107+'Exhibit G'!L92+'Exhibit I'!M69</f>
        <v>184.19999999999993</v>
      </c>
      <c r="L116" s="199"/>
      <c r="M116" s="199">
        <f>+'Exhibit F'!N107+'Exhibit G'!N92+'Exhibit I'!O69</f>
        <v>249.9</v>
      </c>
      <c r="N116" s="199"/>
      <c r="O116" s="199">
        <f>+'Exhibit F'!P107+'Exhibit G'!P92+'Exhibit I'!Q69</f>
        <v>100.8000000000001</v>
      </c>
      <c r="P116" s="199"/>
      <c r="Q116" s="199">
        <f>+'Exhibit F'!R107+'Exhibit G'!R92+'Exhibit I'!S69</f>
        <v>65.700000000000017</v>
      </c>
      <c r="R116" s="199"/>
      <c r="S116" s="199">
        <f>+'Exhibit F'!T107+'Exhibit G'!T92+'Exhibit I'!U69</f>
        <v>338.5</v>
      </c>
      <c r="T116" s="199"/>
      <c r="U116" s="199">
        <f>+'Exhibit F'!V107+'Exhibit G'!V92+'Exhibit I'!W69</f>
        <v>93.199999999999989</v>
      </c>
      <c r="V116" s="199"/>
      <c r="W116" s="199">
        <f>+'Exhibit F'!X107+'Exhibit G'!X92+'Exhibit I'!Y69</f>
        <v>113.90000000000006</v>
      </c>
      <c r="X116" s="199"/>
      <c r="Y116" s="199"/>
      <c r="Z116" s="199"/>
      <c r="AA116" s="200"/>
      <c r="AB116" s="274">
        <f t="shared" si="22"/>
        <v>1883.9</v>
      </c>
      <c r="AC116" s="199"/>
      <c r="AD116" s="882"/>
      <c r="AE116" s="274">
        <f>+'Exhibit F'!AF107+'Exhibit G'!AH92+'Exhibit I'!AI69</f>
        <v>1824</v>
      </c>
      <c r="AF116" s="1629"/>
      <c r="AG116" s="199"/>
      <c r="AH116" s="199">
        <f t="shared" si="23"/>
        <v>59.9</v>
      </c>
      <c r="AI116" s="66"/>
      <c r="AJ116" s="384">
        <f>ROUND(IF(AE116=0,0,AH116/ABS(AE116)),3)</f>
        <v>3.3000000000000002E-2</v>
      </c>
    </row>
    <row r="117" spans="1:37" ht="16.5" customHeight="1">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629"/>
      <c r="AG117" s="199"/>
      <c r="AH117" s="199" t="s">
        <v>103</v>
      </c>
      <c r="AI117" s="66"/>
      <c r="AJ117" s="293"/>
    </row>
    <row r="118" spans="1:37" ht="16.5" customHeight="1">
      <c r="A118" s="774" t="s">
        <v>128</v>
      </c>
      <c r="B118" s="66"/>
      <c r="C118" s="199">
        <f>+'Exhibit F'!D109+'Exhibit G'!D94+'Exhibit I'!E71</f>
        <v>7498.2999999999993</v>
      </c>
      <c r="D118" s="199"/>
      <c r="E118" s="199">
        <f>+'Exhibit F'!F109+'Exhibit G'!F94+'Exhibit I'!G71</f>
        <v>7741.2000000000007</v>
      </c>
      <c r="F118" s="199"/>
      <c r="G118" s="199">
        <f>+'Exhibit F'!H109+'Exhibit G'!H94+'Exhibit I'!I71</f>
        <v>6248.2999999999984</v>
      </c>
      <c r="H118" s="199"/>
      <c r="I118" s="199">
        <f>+'Exhibit F'!J109+'Exhibit G'!J94+'Exhibit I'!K71</f>
        <v>8167.1999999999989</v>
      </c>
      <c r="J118" s="199"/>
      <c r="K118" s="199">
        <f>+'Exhibit F'!L109+'Exhibit G'!L94+'Exhibit I'!M71</f>
        <v>6653.800000000002</v>
      </c>
      <c r="L118" s="199"/>
      <c r="M118" s="199">
        <f>+'Exhibit F'!N109+'Exhibit G'!N94+'Exhibit I'!O71</f>
        <v>7755.9000000000005</v>
      </c>
      <c r="N118" s="199"/>
      <c r="O118" s="199">
        <f>+'Exhibit F'!P109+'Exhibit G'!P94+'Exhibit I'!Q71</f>
        <v>8678.7000000000007</v>
      </c>
      <c r="P118" s="199"/>
      <c r="Q118" s="199">
        <f>+'Exhibit F'!R109+'Exhibit G'!R94+'Exhibit I'!S71</f>
        <v>7085.6999999999989</v>
      </c>
      <c r="R118" s="199"/>
      <c r="S118" s="199">
        <f>+'Exhibit F'!T109+'Exhibit G'!T94+'Exhibit I'!U71</f>
        <v>6985.4999999999982</v>
      </c>
      <c r="T118" s="199"/>
      <c r="U118" s="199">
        <f>+'Exhibit F'!V109+'Exhibit G'!V94+'Exhibit I'!W71</f>
        <v>6550.5999999999995</v>
      </c>
      <c r="V118" s="199"/>
      <c r="W118" s="199">
        <f>+'Exhibit F'!X109+'Exhibit G'!X94+'Exhibit I'!Y71</f>
        <v>7553.5000000000018</v>
      </c>
      <c r="X118" s="199"/>
      <c r="Y118" s="199"/>
      <c r="Z118" s="199"/>
      <c r="AA118" s="200"/>
      <c r="AB118" s="274">
        <f t="shared" si="22"/>
        <v>80918.7</v>
      </c>
      <c r="AC118" s="199"/>
      <c r="AD118" s="882"/>
      <c r="AE118" s="274">
        <f>+'Exhibit F'!AF109+'Exhibit G'!AH94+'Exhibit I'!AI71</f>
        <v>79909.299999999988</v>
      </c>
      <c r="AF118" s="1629"/>
      <c r="AG118" s="199"/>
      <c r="AH118" s="199">
        <f t="shared" si="23"/>
        <v>1009.4</v>
      </c>
      <c r="AI118" s="66"/>
      <c r="AJ118" s="384">
        <f t="shared" ref="AJ118:AJ124" si="24">ROUND(IF(AE118=0,0,AH118/ABS(AE118)),3)</f>
        <v>1.2999999999999999E-2</v>
      </c>
    </row>
    <row r="119" spans="1:37" ht="16.5" customHeight="1">
      <c r="A119" s="773" t="s">
        <v>129</v>
      </c>
      <c r="B119" s="66"/>
      <c r="C119" s="199">
        <f>+'Exhibit F'!D110+'Exhibit G'!D95+'Exhibit I'!E72</f>
        <v>1213.2</v>
      </c>
      <c r="D119" s="199"/>
      <c r="E119" s="199">
        <f>+'Exhibit F'!F110+'Exhibit G'!F95+'Exhibit I'!G72</f>
        <v>1391.1999999999998</v>
      </c>
      <c r="F119" s="199"/>
      <c r="G119" s="199">
        <f>+'Exhibit F'!H110+'Exhibit G'!H95+'Exhibit I'!I72</f>
        <v>2315.4</v>
      </c>
      <c r="H119" s="199"/>
      <c r="I119" s="199">
        <f>+'Exhibit F'!J110+'Exhibit G'!J95+'Exhibit I'!K72</f>
        <v>1450.9000000000005</v>
      </c>
      <c r="J119" s="199"/>
      <c r="K119" s="199">
        <f>+'Exhibit F'!L110+'Exhibit G'!L95+'Exhibit I'!M72</f>
        <v>1698.1</v>
      </c>
      <c r="L119" s="199"/>
      <c r="M119" s="199">
        <f>+'Exhibit F'!N110+'Exhibit G'!N95+'Exhibit I'!O72</f>
        <v>2010.5</v>
      </c>
      <c r="N119" s="199"/>
      <c r="O119" s="199">
        <f>+'Exhibit F'!P110+'Exhibit G'!P95+'Exhibit I'!Q72</f>
        <v>1793.299999999999</v>
      </c>
      <c r="P119" s="199"/>
      <c r="Q119" s="199">
        <f>+'Exhibit F'!R110+'Exhibit G'!R95+'Exhibit I'!S72</f>
        <v>1802.600000000001</v>
      </c>
      <c r="R119" s="199"/>
      <c r="S119" s="199">
        <f>+'Exhibit F'!T110+'Exhibit G'!T95+'Exhibit I'!U72</f>
        <v>1976.8999999999987</v>
      </c>
      <c r="T119" s="199"/>
      <c r="U119" s="199">
        <f>+'Exhibit F'!V110+'Exhibit G'!V95+'Exhibit I'!W72</f>
        <v>1876.7000000000005</v>
      </c>
      <c r="V119" s="199"/>
      <c r="W119" s="199">
        <f>+'Exhibit F'!X110+'Exhibit G'!X95+'Exhibit I'!Y72</f>
        <v>1705.4</v>
      </c>
      <c r="X119" s="199"/>
      <c r="Y119" s="199"/>
      <c r="Z119" s="199"/>
      <c r="AA119" s="200"/>
      <c r="AB119" s="274">
        <f t="shared" si="22"/>
        <v>19234.2</v>
      </c>
      <c r="AC119" s="1245"/>
      <c r="AD119" s="199"/>
      <c r="AE119" s="274">
        <f>+'Exhibit F'!AF110+'Exhibit G'!AH95+'Exhibit I'!AI72</f>
        <v>15320.500000000002</v>
      </c>
      <c r="AF119" s="1629"/>
      <c r="AG119" s="199"/>
      <c r="AH119" s="199">
        <f t="shared" si="23"/>
        <v>3913.7</v>
      </c>
      <c r="AI119" s="66"/>
      <c r="AJ119" s="384">
        <f t="shared" si="24"/>
        <v>0.255</v>
      </c>
    </row>
    <row r="120" spans="1:37" ht="16.5" customHeight="1">
      <c r="A120" s="773" t="s">
        <v>130</v>
      </c>
      <c r="B120" s="66"/>
      <c r="C120" s="199">
        <f>+'Exhibit F'!D111+'Exhibit G'!D96+'Exhibit I'!E73</f>
        <v>100.10000000000001</v>
      </c>
      <c r="D120" s="199"/>
      <c r="E120" s="199">
        <f>+'Exhibit F'!F111+'Exhibit G'!F96+'Exhibit I'!G73</f>
        <v>175.5</v>
      </c>
      <c r="F120" s="199"/>
      <c r="G120" s="199">
        <f>+'Exhibit F'!H111+'Exhibit G'!H96+'Exhibit I'!I73</f>
        <v>235.2</v>
      </c>
      <c r="H120" s="199"/>
      <c r="I120" s="199">
        <f>+'Exhibit F'!J111+'Exhibit G'!J96+'Exhibit I'!K73</f>
        <v>161.69999999999999</v>
      </c>
      <c r="J120" s="199"/>
      <c r="K120" s="199">
        <f>+'Exhibit F'!L111+'Exhibit G'!L96+'Exhibit I'!M73</f>
        <v>418.69999999999987</v>
      </c>
      <c r="L120" s="199"/>
      <c r="M120" s="199">
        <f>+'Exhibit F'!N111+'Exhibit G'!N96+'Exhibit I'!O73</f>
        <v>330.80000000000013</v>
      </c>
      <c r="N120" s="199"/>
      <c r="O120" s="199">
        <f>+'Exhibit F'!P111+'Exhibit G'!P96+'Exhibit I'!Q73</f>
        <v>420.89999999999992</v>
      </c>
      <c r="P120" s="199"/>
      <c r="Q120" s="199">
        <f>+'Exhibit F'!R111+'Exhibit G'!R96+'Exhibit I'!S73</f>
        <v>425.90000000000009</v>
      </c>
      <c r="R120" s="199"/>
      <c r="S120" s="199">
        <f>+'Exhibit F'!T111+'Exhibit G'!T96+'Exhibit I'!U73</f>
        <v>1711.9999999999998</v>
      </c>
      <c r="T120" s="199"/>
      <c r="U120" s="199">
        <f>+'Exhibit F'!V111+'Exhibit G'!V96+'Exhibit I'!W73</f>
        <v>319.29999999999995</v>
      </c>
      <c r="V120" s="199"/>
      <c r="W120" s="199">
        <f>+'Exhibit F'!X111+'Exhibit G'!X96+'Exhibit I'!Y73</f>
        <v>314.10000000000002</v>
      </c>
      <c r="X120" s="199"/>
      <c r="Y120" s="199"/>
      <c r="Z120" s="199"/>
      <c r="AA120" s="200"/>
      <c r="AB120" s="274">
        <f t="shared" si="22"/>
        <v>4614.2</v>
      </c>
      <c r="AC120" s="1261"/>
      <c r="AD120" s="882"/>
      <c r="AE120" s="274">
        <f>+'Exhibit F'!AF111+'Exhibit G'!AH96+'Exhibit I'!AI73</f>
        <v>4927.8</v>
      </c>
      <c r="AF120" s="1629"/>
      <c r="AG120" s="199"/>
      <c r="AH120" s="199">
        <f t="shared" si="23"/>
        <v>-313.60000000000002</v>
      </c>
      <c r="AI120" s="66"/>
      <c r="AJ120" s="880">
        <f t="shared" si="24"/>
        <v>-6.4000000000000001E-2</v>
      </c>
    </row>
    <row r="121" spans="1:37" ht="16.5" customHeight="1">
      <c r="A121" s="773" t="s">
        <v>131</v>
      </c>
      <c r="B121" s="66"/>
      <c r="C121" s="199">
        <f>+'Exhibit F'!D112+'Exhibit G'!D97+'Exhibit I'!E74</f>
        <v>717.9</v>
      </c>
      <c r="D121" s="199"/>
      <c r="E121" s="199">
        <f>+'Exhibit F'!F112+'Exhibit G'!F97+'Exhibit I'!G74</f>
        <v>1094.6000000000001</v>
      </c>
      <c r="F121" s="199"/>
      <c r="G121" s="199">
        <f>+'Exhibit F'!H112+'Exhibit G'!H97+'Exhibit I'!I74</f>
        <v>1373.6999999999998</v>
      </c>
      <c r="H121" s="199"/>
      <c r="I121" s="199">
        <f>+'Exhibit F'!J112+'Exhibit G'!J97+'Exhibit I'!K74</f>
        <v>1031.0000000000002</v>
      </c>
      <c r="J121" s="199"/>
      <c r="K121" s="199">
        <f>+'Exhibit F'!L112+'Exhibit G'!L97+'Exhibit I'!M74</f>
        <v>676.30000000000007</v>
      </c>
      <c r="L121" s="199"/>
      <c r="M121" s="199">
        <f>+'Exhibit F'!N112+'Exhibit G'!N97+'Exhibit I'!O74</f>
        <v>957.69999999999982</v>
      </c>
      <c r="N121" s="199"/>
      <c r="O121" s="199">
        <f>+'Exhibit F'!P112+'Exhibit G'!P97+'Exhibit I'!Q74</f>
        <v>1955.4</v>
      </c>
      <c r="P121" s="199"/>
      <c r="Q121" s="199">
        <f>+'Exhibit F'!R112+'Exhibit G'!R97+'Exhibit I'!S74</f>
        <v>792.69999999999948</v>
      </c>
      <c r="R121" s="199"/>
      <c r="S121" s="199">
        <f>+'Exhibit F'!T112+'Exhibit G'!T97+'Exhibit I'!U74</f>
        <v>1143.2000000000007</v>
      </c>
      <c r="T121" s="199"/>
      <c r="U121" s="199">
        <f>+'Exhibit F'!V112+'Exhibit G'!V97+'Exhibit I'!W74</f>
        <v>978.09999999999968</v>
      </c>
      <c r="V121" s="199"/>
      <c r="W121" s="199">
        <f>+'Exhibit F'!X112+'Exhibit G'!X97+'Exhibit I'!Y74</f>
        <v>732.10000000000036</v>
      </c>
      <c r="X121" s="199"/>
      <c r="Y121" s="199"/>
      <c r="Z121" s="199"/>
      <c r="AA121" s="200"/>
      <c r="AB121" s="274">
        <f t="shared" si="22"/>
        <v>11452.7</v>
      </c>
      <c r="AC121" s="1261"/>
      <c r="AD121" s="882"/>
      <c r="AE121" s="274">
        <f>+'Exhibit F'!AF112+'Exhibit G'!AH97+'Exhibit I'!AI74</f>
        <v>10211.200000000001</v>
      </c>
      <c r="AF121" s="1629"/>
      <c r="AG121" s="199"/>
      <c r="AH121" s="199">
        <f t="shared" si="23"/>
        <v>1241.5</v>
      </c>
      <c r="AI121" s="66"/>
      <c r="AJ121" s="384">
        <f t="shared" si="24"/>
        <v>0.122</v>
      </c>
    </row>
    <row r="122" spans="1:37" ht="16.5" customHeight="1">
      <c r="A122" s="773" t="s">
        <v>132</v>
      </c>
      <c r="B122" s="66"/>
      <c r="C122" s="199">
        <f>+'Exhibit F'!D113+'Exhibit G'!D98+'Exhibit I'!E75</f>
        <v>113.6</v>
      </c>
      <c r="D122" s="199"/>
      <c r="E122" s="199">
        <f>+'Exhibit F'!F113+'Exhibit G'!F98+'Exhibit I'!G75</f>
        <v>40</v>
      </c>
      <c r="F122" s="199"/>
      <c r="G122" s="199">
        <f>+'Exhibit F'!H113+'Exhibit G'!H98+'Exhibit I'!I75</f>
        <v>71.800000000000011</v>
      </c>
      <c r="H122" s="199"/>
      <c r="I122" s="199">
        <f>+'Exhibit F'!J113+'Exhibit G'!J98+'Exhibit I'!K75</f>
        <v>174.29999999999998</v>
      </c>
      <c r="J122" s="199"/>
      <c r="K122" s="199">
        <f>+'Exhibit F'!L113+'Exhibit G'!L98+'Exhibit I'!M75</f>
        <v>257.09999999999997</v>
      </c>
      <c r="L122" s="199"/>
      <c r="M122" s="199">
        <f>+'Exhibit F'!N113+'Exhibit G'!N98+'Exhibit I'!O75</f>
        <v>278.40000000000009</v>
      </c>
      <c r="N122" s="199"/>
      <c r="O122" s="199">
        <f>+'Exhibit F'!P113+'Exhibit G'!P98+'Exhibit I'!Q75</f>
        <v>332.6</v>
      </c>
      <c r="P122" s="199"/>
      <c r="Q122" s="199">
        <f>+'Exhibit F'!R113+'Exhibit G'!R98+'Exhibit I'!S75</f>
        <v>77.999999999999943</v>
      </c>
      <c r="R122" s="199"/>
      <c r="S122" s="199">
        <f>+'Exhibit F'!T113+'Exhibit G'!T98+'Exhibit I'!U75</f>
        <v>167.59999999999997</v>
      </c>
      <c r="T122" s="199"/>
      <c r="U122" s="199">
        <f>+'Exhibit F'!V113+'Exhibit G'!V98+'Exhibit I'!W75</f>
        <v>48.500000000000099</v>
      </c>
      <c r="V122" s="199"/>
      <c r="W122" s="199">
        <f>+'Exhibit F'!X113+'Exhibit G'!X98+'Exhibit I'!Y75</f>
        <v>77.799999999999983</v>
      </c>
      <c r="X122" s="199"/>
      <c r="Y122" s="199"/>
      <c r="Z122" s="199"/>
      <c r="AA122" s="200"/>
      <c r="AB122" s="274">
        <f t="shared" si="22"/>
        <v>1639.7</v>
      </c>
      <c r="AC122" s="1261"/>
      <c r="AD122" s="882"/>
      <c r="AE122" s="274">
        <f>+'Exhibit F'!AF113+'Exhibit G'!AH98+'Exhibit I'!AI75</f>
        <v>1300.8999999999999</v>
      </c>
      <c r="AF122" s="1629"/>
      <c r="AG122" s="199"/>
      <c r="AH122" s="199">
        <f t="shared" si="23"/>
        <v>338.8</v>
      </c>
      <c r="AI122" s="66"/>
      <c r="AJ122" s="384">
        <f t="shared" si="24"/>
        <v>0.26</v>
      </c>
    </row>
    <row r="123" spans="1:37" ht="16.5" customHeight="1">
      <c r="A123" s="773" t="s">
        <v>133</v>
      </c>
      <c r="B123" s="66"/>
      <c r="C123" s="199">
        <f>+'Exhibit F'!D114+'Exhibit G'!D99+'Exhibit I'!E76</f>
        <v>104.8</v>
      </c>
      <c r="D123" s="199"/>
      <c r="E123" s="199">
        <f>+'Exhibit F'!F114+'Exhibit G'!F99+'Exhibit I'!G76</f>
        <v>710.59999999999991</v>
      </c>
      <c r="F123" s="199"/>
      <c r="G123" s="199">
        <f>+'Exhibit F'!H114+'Exhibit G'!H99+'Exhibit I'!I76</f>
        <v>497.30000000000018</v>
      </c>
      <c r="H123" s="199"/>
      <c r="I123" s="199">
        <f>+'Exhibit F'!J114+'Exhibit G'!J99+'Exhibit I'!K76</f>
        <v>426.69999999999993</v>
      </c>
      <c r="J123" s="199"/>
      <c r="K123" s="199">
        <f>+'Exhibit F'!L114+'Exhibit G'!L99+'Exhibit I'!M76</f>
        <v>644.20000000000016</v>
      </c>
      <c r="L123" s="199"/>
      <c r="M123" s="199">
        <f>+'Exhibit F'!N114+'Exhibit G'!N99+'Exhibit I'!O76</f>
        <v>586.40000000000009</v>
      </c>
      <c r="N123" s="199"/>
      <c r="O123" s="199">
        <f>+'Exhibit F'!P114+'Exhibit G'!P99+'Exhibit I'!Q76</f>
        <v>780.49999999999955</v>
      </c>
      <c r="P123" s="199"/>
      <c r="Q123" s="199">
        <f>+'Exhibit F'!R114+'Exhibit G'!R99+'Exhibit I'!S76</f>
        <v>791.99999999999977</v>
      </c>
      <c r="R123" s="199"/>
      <c r="S123" s="199">
        <f>+'Exhibit F'!T114+'Exhibit G'!T99+'Exhibit I'!U76</f>
        <v>1515.6</v>
      </c>
      <c r="T123" s="199"/>
      <c r="U123" s="199">
        <f>+'Exhibit F'!V114+'Exhibit G'!V99+'Exhibit I'!W76</f>
        <v>128.80000000000058</v>
      </c>
      <c r="V123" s="199"/>
      <c r="W123" s="199">
        <f>+'Exhibit F'!X114+'Exhibit G'!X99+'Exhibit I'!Y76</f>
        <v>617.40000000000009</v>
      </c>
      <c r="X123" s="199"/>
      <c r="Y123" s="199"/>
      <c r="Z123" s="199"/>
      <c r="AA123" s="200"/>
      <c r="AB123" s="199">
        <f>ROUND(SUM(C123:Y123),1)</f>
        <v>6804.3</v>
      </c>
      <c r="AC123" s="1261"/>
      <c r="AD123" s="882"/>
      <c r="AE123" s="274">
        <f>+'Exhibit F'!AF114+'Exhibit G'!AH99+'Exhibit I'!AI76</f>
        <v>6257.2</v>
      </c>
      <c r="AF123" s="1629"/>
      <c r="AG123" s="199"/>
      <c r="AH123" s="199">
        <f>ROUND(SUM(AB123-AE123),1)</f>
        <v>547.1</v>
      </c>
      <c r="AI123" s="66"/>
      <c r="AJ123" s="384">
        <f t="shared" si="24"/>
        <v>8.6999999999999994E-2</v>
      </c>
    </row>
    <row r="124" spans="1:37" ht="16.5" customHeight="1">
      <c r="A124" s="66" t="s">
        <v>134</v>
      </c>
      <c r="B124" s="66"/>
      <c r="C124" s="1040">
        <f>ROUND(SUM(C114:C123),1)</f>
        <v>12344.1</v>
      </c>
      <c r="D124" s="202"/>
      <c r="E124" s="1040">
        <f>ROUND(SUM(E114:E123),1)</f>
        <v>17109.3</v>
      </c>
      <c r="F124" s="202"/>
      <c r="G124" s="1040">
        <f>ROUND(SUM(G114:G123),1)</f>
        <v>15070.3</v>
      </c>
      <c r="H124" s="202"/>
      <c r="I124" s="1040">
        <f>ROUND(SUM(I114:I123),1)</f>
        <v>13365.3</v>
      </c>
      <c r="J124" s="202"/>
      <c r="K124" s="1040">
        <f>ROUND(SUM(K114:K123),1)</f>
        <v>14101.4</v>
      </c>
      <c r="L124" s="202"/>
      <c r="M124" s="1040">
        <f>ROUND(SUM(M114:M123),1)</f>
        <v>18266</v>
      </c>
      <c r="N124" s="202"/>
      <c r="O124" s="1040">
        <f>ROUND(SUM(O114:O123),1)</f>
        <v>16240.6</v>
      </c>
      <c r="P124" s="202"/>
      <c r="Q124" s="1040">
        <f>ROUND(SUM(Q114:Q123),1)</f>
        <v>14125.7</v>
      </c>
      <c r="R124" s="202"/>
      <c r="S124" s="1040">
        <f>ROUND(SUM(S114:S123),1)</f>
        <v>17609.400000000001</v>
      </c>
      <c r="T124" s="202"/>
      <c r="U124" s="1040">
        <f>ROUND(SUM(U114:U123),1)</f>
        <v>14408</v>
      </c>
      <c r="V124" s="202"/>
      <c r="W124" s="1040">
        <f>ROUND(SUM(W114:W123),1)</f>
        <v>13351.2</v>
      </c>
      <c r="X124" s="202"/>
      <c r="Y124" s="1040">
        <f>ROUND(SUM(Y114:Y123),1)</f>
        <v>0</v>
      </c>
      <c r="Z124" s="202"/>
      <c r="AA124" s="203"/>
      <c r="AB124" s="1040">
        <f>ROUND(SUM(AB114:AB123),1)</f>
        <v>165991.29999999999</v>
      </c>
      <c r="AC124" s="1262"/>
      <c r="AD124" s="885"/>
      <c r="AE124" s="1040">
        <f>ROUND(SUM(AE114:AE123),1)</f>
        <v>157632</v>
      </c>
      <c r="AF124" s="1630"/>
      <c r="AG124" s="202"/>
      <c r="AH124" s="1040">
        <f>ROUND(SUM(AH114:AH123),1)</f>
        <v>8359.2999999999993</v>
      </c>
      <c r="AI124" s="192"/>
      <c r="AJ124" s="1041">
        <f t="shared" si="24"/>
        <v>5.2999999999999999E-2</v>
      </c>
      <c r="AK124" s="134"/>
    </row>
    <row r="125" spans="1:37" ht="16.5" customHeight="1">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629"/>
      <c r="AG125" s="199"/>
      <c r="AH125" s="274"/>
      <c r="AI125" s="66"/>
      <c r="AJ125" s="278"/>
    </row>
    <row r="126" spans="1:37" ht="16.5" customHeight="1">
      <c r="A126" s="66" t="s">
        <v>437</v>
      </c>
      <c r="B126" s="66"/>
      <c r="C126" s="199">
        <f>+'Exhibit F'!D117+'Exhibit G'!D102+'Exhibit I'!E79</f>
        <v>1370.3</v>
      </c>
      <c r="D126" s="199"/>
      <c r="E126" s="199">
        <f>+'Exhibit F'!F117+'Exhibit G'!F102+'Exhibit I'!G79</f>
        <v>1532.1999999999998</v>
      </c>
      <c r="F126" s="199"/>
      <c r="G126" s="199">
        <f>+'Exhibit F'!H117+'Exhibit G'!H102+'Exhibit I'!I79</f>
        <v>1299.7000000000003</v>
      </c>
      <c r="H126" s="199"/>
      <c r="I126" s="199">
        <f>+'Exhibit F'!J117+'Exhibit G'!J102+'Exhibit I'!K79</f>
        <v>1899.0999999999995</v>
      </c>
      <c r="J126" s="199"/>
      <c r="K126" s="199">
        <f>+'Exhibit F'!L117+'Exhibit G'!L102+'Exhibit I'!M79</f>
        <v>1431.3999999999999</v>
      </c>
      <c r="L126" s="199"/>
      <c r="M126" s="199">
        <f>+'Exhibit F'!N117+'Exhibit G'!N102+'Exhibit I'!O79</f>
        <v>1327.6999999999996</v>
      </c>
      <c r="N126" s="199"/>
      <c r="O126" s="199">
        <f>+'Exhibit F'!P117+'Exhibit G'!P102+'Exhibit I'!Q79</f>
        <v>1564.3999999999999</v>
      </c>
      <c r="P126" s="199"/>
      <c r="Q126" s="199">
        <f>+'Exhibit F'!R117+'Exhibit G'!R102+'Exhibit I'!S79</f>
        <v>1363.2990000000007</v>
      </c>
      <c r="R126" s="199"/>
      <c r="S126" s="199">
        <f>+'Exhibit F'!T117+'Exhibit G'!T102+'Exhibit I'!U79</f>
        <v>1839.4010000000001</v>
      </c>
      <c r="T126" s="199"/>
      <c r="U126" s="199">
        <f>+'Exhibit F'!V117+'Exhibit G'!V102+'Exhibit I'!W79</f>
        <v>1314.1999999999996</v>
      </c>
      <c r="V126" s="199"/>
      <c r="W126" s="199">
        <f>+'Exhibit F'!X117+'Exhibit G'!X102+'Exhibit I'!Y79</f>
        <v>1366.0000000000018</v>
      </c>
      <c r="X126" s="199"/>
      <c r="Y126" s="199"/>
      <c r="Z126" s="199"/>
      <c r="AA126" s="200"/>
      <c r="AB126" s="199">
        <f>ROUND(SUM(C126:Y126),1)</f>
        <v>16307.7</v>
      </c>
      <c r="AC126" s="199"/>
      <c r="AD126" s="882"/>
      <c r="AE126" s="274">
        <f>+'Exhibit F'!AF117+'Exhibit G'!AH102+'Exhibit I'!AI79</f>
        <v>15272.7</v>
      </c>
      <c r="AF126" s="1629"/>
      <c r="AG126" s="199"/>
      <c r="AH126" s="199">
        <f>ROUND(SUM(AB126-AE126),1)</f>
        <v>1035</v>
      </c>
      <c r="AI126" s="66"/>
      <c r="AJ126" s="384">
        <f>ROUND(IF(AE126=0,0,AH126/ABS(AE126)),3)</f>
        <v>6.8000000000000005E-2</v>
      </c>
    </row>
    <row r="127" spans="1:37" ht="16.5" customHeight="1">
      <c r="A127" s="66" t="s">
        <v>438</v>
      </c>
      <c r="B127" s="66"/>
      <c r="C127" s="199">
        <f>+'Exhibit F'!D118+'Exhibit G'!D103+'Exhibit H'!B59+'Exhibit I'!E80</f>
        <v>489.4</v>
      </c>
      <c r="D127" s="199"/>
      <c r="E127" s="199">
        <f>+'Exhibit F'!F118+'Exhibit G'!F103+'Exhibit H'!D59+'Exhibit I'!G80</f>
        <v>786.5</v>
      </c>
      <c r="F127" s="199"/>
      <c r="G127" s="199">
        <f>+'Exhibit F'!H118+'Exhibit G'!H103+'Exhibit H'!F59+'Exhibit I'!I80</f>
        <v>646.69999999999993</v>
      </c>
      <c r="H127" s="199"/>
      <c r="I127" s="199">
        <f>+'Exhibit F'!J118+'Exhibit G'!J103+'Exhibit H'!H59+'Exhibit I'!K80</f>
        <v>742.09999999999991</v>
      </c>
      <c r="J127" s="199"/>
      <c r="K127" s="199">
        <f>+'Exhibit F'!L118+'Exhibit G'!L103+'Exhibit H'!J59+'Exhibit I'!M80</f>
        <v>785.40000000000009</v>
      </c>
      <c r="L127" s="199"/>
      <c r="M127" s="199">
        <f>+'Exhibit F'!N118+'Exhibit G'!N103+'Exhibit H'!L59+'Exhibit I'!O80</f>
        <v>695.99999999999989</v>
      </c>
      <c r="N127" s="199"/>
      <c r="O127" s="199">
        <f>+'Exhibit F'!P118+'Exhibit G'!P103+'Exhibit H'!N59+'Exhibit I'!Q80</f>
        <v>843.10000000000025</v>
      </c>
      <c r="P127" s="199"/>
      <c r="Q127" s="199">
        <f>+'Exhibit F'!R118+'Exhibit G'!R103+'Exhibit H'!P59+'Exhibit I'!S80</f>
        <v>661.09999999999991</v>
      </c>
      <c r="R127" s="199"/>
      <c r="S127" s="199">
        <f>+'Exhibit F'!T118+'Exhibit G'!T103+'Exhibit H'!R59+'Exhibit I'!U80</f>
        <v>674.99999999999977</v>
      </c>
      <c r="T127" s="199"/>
      <c r="U127" s="199">
        <f>+'Exhibit F'!V118+'Exhibit G'!V103+'Exhibit H'!T59+'Exhibit I'!W80</f>
        <v>869.7</v>
      </c>
      <c r="V127" s="199"/>
      <c r="W127" s="199">
        <f>+'Exhibit F'!X118+'Exhibit G'!X103+'Exhibit H'!V59+'Exhibit I'!Y80</f>
        <v>884.10000000000014</v>
      </c>
      <c r="X127" s="199"/>
      <c r="Y127" s="199"/>
      <c r="Z127" s="199"/>
      <c r="AA127" s="200"/>
      <c r="AB127" s="199">
        <f>ROUND(SUM(C127:Y127),1)</f>
        <v>8079.1</v>
      </c>
      <c r="AC127" s="199"/>
      <c r="AD127" s="882"/>
      <c r="AE127" s="274">
        <f>+'Exhibit F'!AF118+'Exhibit G'!AH103+'Exhibit H'!AD59+'Exhibit I'!AI80</f>
        <v>7530.3</v>
      </c>
      <c r="AF127" s="1629"/>
      <c r="AG127" s="199"/>
      <c r="AH127" s="199">
        <f>ROUND(SUM(AB127-AE127),1)</f>
        <v>548.79999999999995</v>
      </c>
      <c r="AI127" s="66"/>
      <c r="AJ127" s="384">
        <f>ROUND(IF(AE127=0,0,AH127/ABS(AE127)),3)</f>
        <v>7.2999999999999995E-2</v>
      </c>
    </row>
    <row r="128" spans="1:37" ht="16.5" customHeight="1">
      <c r="A128" s="66" t="s">
        <v>138</v>
      </c>
      <c r="B128" s="66"/>
      <c r="C128" s="199">
        <f>+'Exhibit F'!D119+'Exhibit G'!D104+'Exhibit I'!E81</f>
        <v>685.4</v>
      </c>
      <c r="D128" s="199"/>
      <c r="E128" s="199">
        <f>+'Exhibit F'!F119+'Exhibit G'!F104+'Exhibit I'!G81</f>
        <v>894.9</v>
      </c>
      <c r="F128" s="199"/>
      <c r="G128" s="199">
        <f>+'Exhibit F'!H119+'Exhibit G'!H104+'Exhibit I'!I81</f>
        <v>652.79999999999995</v>
      </c>
      <c r="H128" s="199"/>
      <c r="I128" s="199">
        <f>+'Exhibit F'!J119+'Exhibit G'!J104+'Exhibit I'!K81</f>
        <v>737.99999999999977</v>
      </c>
      <c r="J128" s="199"/>
      <c r="K128" s="199">
        <f>+'Exhibit F'!L119+'Exhibit G'!L104+'Exhibit I'!M81</f>
        <v>621.6</v>
      </c>
      <c r="L128" s="199"/>
      <c r="M128" s="199">
        <f>+'Exhibit F'!N119+'Exhibit G'!N104+'Exhibit I'!O81</f>
        <v>704.30000000000041</v>
      </c>
      <c r="N128" s="199"/>
      <c r="O128" s="199">
        <f>+'Exhibit F'!P119+'Exhibit G'!P104+'Exhibit I'!Q81</f>
        <v>771.89999999999918</v>
      </c>
      <c r="P128" s="199"/>
      <c r="Q128" s="199">
        <f>+'Exhibit F'!R119+'Exhibit G'!R104+'Exhibit I'!S81</f>
        <v>641.1000000000007</v>
      </c>
      <c r="R128" s="199"/>
      <c r="S128" s="199">
        <f>+'Exhibit F'!T119+'Exhibit G'!T104+'Exhibit I'!U81</f>
        <v>739.89999999999964</v>
      </c>
      <c r="T128" s="199"/>
      <c r="U128" s="199">
        <f>+'Exhibit F'!V119+'Exhibit G'!V104+'Exhibit I'!W81</f>
        <v>877.30000000000041</v>
      </c>
      <c r="V128" s="199"/>
      <c r="W128" s="199">
        <f>+'Exhibit F'!X119+'Exhibit G'!X104+'Exhibit I'!Y81</f>
        <v>2114.0999999999995</v>
      </c>
      <c r="X128" s="199"/>
      <c r="Y128" s="199"/>
      <c r="Z128" s="199"/>
      <c r="AA128" s="200"/>
      <c r="AB128" s="199">
        <f>ROUND(SUM(C128:Y128),1)</f>
        <v>9441.2999999999993</v>
      </c>
      <c r="AC128" s="199"/>
      <c r="AD128" s="882"/>
      <c r="AE128" s="274">
        <f>+'Exhibit F'!AF119+'Exhibit G'!AH104+'Exhibit I'!AI81</f>
        <v>9638.0999999999985</v>
      </c>
      <c r="AF128" s="1629"/>
      <c r="AG128" s="199"/>
      <c r="AH128" s="199">
        <f>ROUND(SUM(AB128-AE128),1)</f>
        <v>-196.8</v>
      </c>
      <c r="AI128" s="66"/>
      <c r="AJ128" s="384">
        <f>ROUND(IF(AE128=0,0,AH128/ABS(AE128)),3)</f>
        <v>-0.02</v>
      </c>
    </row>
    <row r="129" spans="1:44" ht="16.5" customHeight="1">
      <c r="A129" s="66" t="s">
        <v>439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629"/>
      <c r="AG129" s="199"/>
      <c r="AH129" s="199"/>
      <c r="AI129" s="66"/>
      <c r="AJ129" s="293"/>
    </row>
    <row r="130" spans="1:44" ht="16.5" customHeight="1">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f>+'Exhibit H'!V61</f>
        <v>127.10000000000002</v>
      </c>
      <c r="X130" s="199"/>
      <c r="Y130" s="199"/>
      <c r="Z130" s="199"/>
      <c r="AA130" s="200"/>
      <c r="AB130" s="199">
        <f>ROUND(SUM(C130:Y130),1)</f>
        <v>481.8</v>
      </c>
      <c r="AC130" s="199"/>
      <c r="AD130" s="882"/>
      <c r="AE130" s="274">
        <f>+'Exhibit H'!AD61+'Exhibit G'!AH106</f>
        <v>869</v>
      </c>
      <c r="AF130" s="1629"/>
      <c r="AG130" s="199"/>
      <c r="AH130" s="199">
        <f>ROUND(SUM(AB130-AE130),1)</f>
        <v>-387.2</v>
      </c>
      <c r="AI130" s="66"/>
      <c r="AJ130" s="384">
        <f>ROUND(IF(AE130=0,0,AH130/ABS(AE130)),3)</f>
        <v>-0.44600000000000001</v>
      </c>
    </row>
    <row r="131" spans="1:44" ht="16.5" customHeight="1">
      <c r="A131" s="204" t="s">
        <v>440</v>
      </c>
      <c r="B131" s="66"/>
      <c r="C131" s="201">
        <f>+'Exhibit G'!D107+'Exhibit I'!E82</f>
        <v>484.5</v>
      </c>
      <c r="D131" s="199"/>
      <c r="E131" s="201">
        <f>+'Exhibit G'!F107+'Exhibit I'!G82</f>
        <v>783.49999999999989</v>
      </c>
      <c r="F131" s="201"/>
      <c r="G131" s="201">
        <f>+'Exhibit G'!H107+'Exhibit I'!I82</f>
        <v>751.19999999999993</v>
      </c>
      <c r="H131" s="199"/>
      <c r="I131" s="201">
        <f>+'Exhibit G'!J107+'Exhibit I'!K82</f>
        <v>825.60000000000025</v>
      </c>
      <c r="J131" s="199"/>
      <c r="K131" s="201">
        <f>+'Exhibit G'!L107+'Exhibit I'!M82</f>
        <v>878.50000000000023</v>
      </c>
      <c r="L131" s="199"/>
      <c r="M131" s="201">
        <f>+'Exhibit G'!N107+'Exhibit I'!O82</f>
        <v>819.3</v>
      </c>
      <c r="N131" s="199"/>
      <c r="O131" s="201">
        <f>+'Exhibit G'!P107+'Exhibit I'!Q82</f>
        <v>1161.5000000000002</v>
      </c>
      <c r="P131" s="199"/>
      <c r="Q131" s="201">
        <f>+'Exhibit G'!R107+'Exhibit I'!S82</f>
        <v>787.40000000000009</v>
      </c>
      <c r="R131" s="199"/>
      <c r="S131" s="201">
        <f>+'Exhibit G'!T107+'Exhibit I'!U82</f>
        <v>807.29999999999927</v>
      </c>
      <c r="T131" s="199"/>
      <c r="U131" s="201">
        <f>+'Exhibit G'!V107+'Exhibit I'!W82</f>
        <v>684.00000000000114</v>
      </c>
      <c r="V131" s="199"/>
      <c r="W131" s="201">
        <f>+'Exhibit G'!X107+'Exhibit I'!Y82</f>
        <v>705.89999999999918</v>
      </c>
      <c r="X131" s="199"/>
      <c r="Y131" s="201"/>
      <c r="Z131" s="199"/>
      <c r="AA131" s="200"/>
      <c r="AB131" s="201">
        <f>ROUND(SUM(C131:Y131),1)</f>
        <v>8688.7000000000007</v>
      </c>
      <c r="AC131" s="199"/>
      <c r="AD131" s="882"/>
      <c r="AE131" s="393">
        <f>+'Exhibit G'!AH107+'Exhibit I'!AI82</f>
        <v>7821.0999999999995</v>
      </c>
      <c r="AF131" s="1629"/>
      <c r="AG131" s="199"/>
      <c r="AH131" s="201">
        <f>ROUND(SUM(AB131-AE131),1)</f>
        <v>867.6</v>
      </c>
      <c r="AI131" s="66"/>
      <c r="AJ131" s="884">
        <f>ROUND(IF(AE131=0,0,AH131/ABS(AE131)),3)</f>
        <v>0.111</v>
      </c>
    </row>
    <row r="132" spans="1:44" ht="16.5" customHeight="1">
      <c r="A132" s="66"/>
      <c r="B132" s="66"/>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200"/>
      <c r="AB132" s="199"/>
      <c r="AC132" s="199"/>
      <c r="AD132" s="882"/>
      <c r="AE132" s="199"/>
      <c r="AF132" s="1629"/>
      <c r="AG132" s="199"/>
      <c r="AH132" s="199"/>
      <c r="AI132" s="66"/>
      <c r="AJ132" s="293"/>
    </row>
    <row r="133" spans="1:44" ht="16.5" customHeight="1">
      <c r="A133" s="40" t="s">
        <v>162</v>
      </c>
      <c r="B133" s="66"/>
      <c r="C133" s="775">
        <f>ROUND(SUM(C124:C131),1)</f>
        <v>15405.3</v>
      </c>
      <c r="D133" s="202"/>
      <c r="E133" s="775">
        <f>ROUND(SUM(E124:E131),1)</f>
        <v>21123.9</v>
      </c>
      <c r="F133" s="202"/>
      <c r="G133" s="775">
        <f>ROUND(SUM(G124:G131),1)</f>
        <v>18425.5</v>
      </c>
      <c r="H133" s="202"/>
      <c r="I133" s="775">
        <f>ROUND(SUM(I124:I131),1)</f>
        <v>17574.5</v>
      </c>
      <c r="J133" s="202"/>
      <c r="K133" s="775">
        <f>ROUND(SUM(K124:K131),1)</f>
        <v>17845.2</v>
      </c>
      <c r="L133" s="202"/>
      <c r="M133" s="775">
        <f>ROUND(SUM(M124:M131),1)</f>
        <v>22052.400000000001</v>
      </c>
      <c r="N133" s="202"/>
      <c r="O133" s="775">
        <f>ROUND(SUM(O124:O131),1)</f>
        <v>20586.5</v>
      </c>
      <c r="P133" s="202"/>
      <c r="Q133" s="775">
        <f>ROUND(SUM(Q124:Q131),1)</f>
        <v>17597.599999999999</v>
      </c>
      <c r="R133" s="202"/>
      <c r="S133" s="775">
        <f>ROUND(SUM(S124:S131),1)</f>
        <v>21675.7</v>
      </c>
      <c r="T133" s="202"/>
      <c r="U133" s="775">
        <f>ROUND(SUM(U124:U131),1)</f>
        <v>18154.900000000001</v>
      </c>
      <c r="V133" s="202"/>
      <c r="W133" s="775">
        <f>ROUND(SUM(W124:W131),1)</f>
        <v>18548.400000000001</v>
      </c>
      <c r="X133" s="202"/>
      <c r="Y133" s="775">
        <f>ROUND(SUM(Y124:Y131),1)</f>
        <v>0</v>
      </c>
      <c r="Z133" s="202"/>
      <c r="AA133" s="203"/>
      <c r="AB133" s="775">
        <f>ROUND(SUM(AB124:AB131),1)</f>
        <v>208989.9</v>
      </c>
      <c r="AC133" s="202"/>
      <c r="AD133" s="885"/>
      <c r="AE133" s="775">
        <f>ROUND(SUM(AE124:AE131),1)</f>
        <v>198763.2</v>
      </c>
      <c r="AF133" s="1630"/>
      <c r="AG133" s="202"/>
      <c r="AH133" s="775">
        <f>ROUND(SUM(AB133-AE133),1)</f>
        <v>10226.700000000001</v>
      </c>
      <c r="AI133" s="192"/>
      <c r="AJ133" s="881">
        <f>ROUND(IF(AE133=0,0,AH133/ABS(AE133)),3)</f>
        <v>5.0999999999999997E-2</v>
      </c>
      <c r="AK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629"/>
      <c r="AG134" s="199"/>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629"/>
      <c r="AG135" s="199"/>
      <c r="AH135" s="274"/>
      <c r="AI135" s="66"/>
      <c r="AJ135" s="278"/>
    </row>
    <row r="136" spans="1:44" ht="16.5" customHeight="1">
      <c r="A136" s="40" t="s">
        <v>144</v>
      </c>
      <c r="B136" s="66"/>
      <c r="C136" s="775">
        <f>ROUND(SUM(C110-C133),1)</f>
        <v>6336.7</v>
      </c>
      <c r="D136" s="202"/>
      <c r="E136" s="775">
        <f>ROUND(SUM(E110-E133),1)</f>
        <v>-3732.6</v>
      </c>
      <c r="F136" s="202"/>
      <c r="G136" s="775">
        <f>ROUND(SUM(G110-G133),1)</f>
        <v>4599.5</v>
      </c>
      <c r="H136" s="202"/>
      <c r="I136" s="775">
        <f>ROUND(SUM(I110-I133),1)</f>
        <v>-1132.5</v>
      </c>
      <c r="J136" s="202"/>
      <c r="K136" s="775">
        <f>ROUND(SUM(K110-K133),1)</f>
        <v>500.7</v>
      </c>
      <c r="L136" s="202"/>
      <c r="M136" s="775">
        <f>ROUND(SUM(M110-M133),1)</f>
        <v>1617.5</v>
      </c>
      <c r="N136" s="202"/>
      <c r="O136" s="775">
        <f>ROUND(SUM(O110-O133),1)</f>
        <v>-6118.4</v>
      </c>
      <c r="P136" s="202"/>
      <c r="Q136" s="775">
        <f>ROUND(SUM(Q110-Q133),1)</f>
        <v>-1133.0999999999999</v>
      </c>
      <c r="R136" s="202"/>
      <c r="S136" s="775">
        <f>ROUND(SUM(S110-S133),1)</f>
        <v>5302.1</v>
      </c>
      <c r="T136" s="202"/>
      <c r="U136" s="775">
        <f>ROUND(SUM(U110-U133),1)</f>
        <v>3309.3</v>
      </c>
      <c r="V136" s="202"/>
      <c r="W136" s="775">
        <f>ROUND(SUM(W110-W133),1)</f>
        <v>2327.1</v>
      </c>
      <c r="X136" s="202"/>
      <c r="Y136" s="775">
        <f>ROUND(SUM(Y110-Y133),1)</f>
        <v>0</v>
      </c>
      <c r="Z136" s="202"/>
      <c r="AA136" s="203"/>
      <c r="AB136" s="775">
        <f>ROUND(SUM(AB110-AB133),1)</f>
        <v>11876.3</v>
      </c>
      <c r="AC136" s="202"/>
      <c r="AD136" s="885"/>
      <c r="AE136" s="775">
        <f>ROUND(SUM(AE110-AE133),1)</f>
        <v>10379.799999999999</v>
      </c>
      <c r="AF136" s="1630"/>
      <c r="AG136" s="202"/>
      <c r="AH136" s="890">
        <f>ROUND(SUM(AB136-AE136),1)</f>
        <v>1496.5</v>
      </c>
      <c r="AI136" s="192"/>
      <c r="AJ136" s="886">
        <f>ROUND(IF(AE136=0,0,AH136/ABS(AE136)),3)</f>
        <v>0.14399999999999999</v>
      </c>
      <c r="AK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629"/>
      <c r="AG137" s="199"/>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5"/>
      <c r="AA138" s="200"/>
      <c r="AB138" s="199"/>
      <c r="AC138" s="1245"/>
      <c r="AD138" s="199"/>
      <c r="AE138" s="199"/>
      <c r="AF138" s="1629"/>
      <c r="AG138" s="199"/>
      <c r="AH138" s="274"/>
      <c r="AI138" s="66"/>
      <c r="AJ138" s="278"/>
    </row>
    <row r="139" spans="1:44" ht="16.5" customHeight="1">
      <c r="A139" s="66" t="s">
        <v>146</v>
      </c>
      <c r="B139" s="66"/>
      <c r="C139" s="696">
        <v>0</v>
      </c>
      <c r="D139" s="696"/>
      <c r="E139" s="696">
        <v>0</v>
      </c>
      <c r="F139" s="696"/>
      <c r="G139" s="696">
        <v>0</v>
      </c>
      <c r="H139" s="205"/>
      <c r="I139" s="696">
        <v>0</v>
      </c>
      <c r="J139" s="205"/>
      <c r="K139" s="696">
        <v>0</v>
      </c>
      <c r="L139" s="205"/>
      <c r="M139" s="696">
        <f>'Exhibit A'!$V48</f>
        <v>0</v>
      </c>
      <c r="N139" s="205"/>
      <c r="O139" s="696">
        <f>'Exhibit A'!$V48</f>
        <v>0</v>
      </c>
      <c r="P139" s="205"/>
      <c r="Q139" s="696">
        <v>0</v>
      </c>
      <c r="R139" s="696"/>
      <c r="S139" s="696">
        <v>0</v>
      </c>
      <c r="T139" s="696"/>
      <c r="U139" s="696">
        <v>0</v>
      </c>
      <c r="V139" s="696"/>
      <c r="W139" s="696">
        <f>'Exhibit A'!$V48</f>
        <v>0</v>
      </c>
      <c r="X139" s="696"/>
      <c r="Y139" s="696"/>
      <c r="Z139" s="199"/>
      <c r="AA139" s="200"/>
      <c r="AB139" s="199">
        <f>ROUND(SUM(C139:Y139),1)</f>
        <v>0</v>
      </c>
      <c r="AC139" s="199"/>
      <c r="AD139" s="882"/>
      <c r="AE139" s="199">
        <f>+'Exhibit A'!AD48</f>
        <v>505</v>
      </c>
      <c r="AF139" s="1629"/>
      <c r="AG139" s="199"/>
      <c r="AH139" s="199">
        <f>ROUND(SUM(AB139-AE139),1)</f>
        <v>-505</v>
      </c>
      <c r="AI139" s="194"/>
      <c r="AJ139" s="276">
        <f>ROUND(IF(AE139=0,0,AH139/ABS(AE139)),3)</f>
        <v>-1</v>
      </c>
    </row>
    <row r="140" spans="1:44" ht="16.5" customHeight="1">
      <c r="A140" s="66" t="s">
        <v>147</v>
      </c>
      <c r="B140" s="66"/>
      <c r="C140" s="696">
        <v>5491.4</v>
      </c>
      <c r="D140" s="696"/>
      <c r="E140" s="696">
        <v>2615.6</v>
      </c>
      <c r="F140" s="696"/>
      <c r="G140" s="696">
        <v>6956.4</v>
      </c>
      <c r="H140" s="199"/>
      <c r="I140" s="696">
        <v>3592.2</v>
      </c>
      <c r="J140" s="199"/>
      <c r="K140" s="696">
        <v>3801.1</v>
      </c>
      <c r="L140" s="199"/>
      <c r="M140" s="696">
        <v>6482.9</v>
      </c>
      <c r="N140" s="199"/>
      <c r="O140" s="696">
        <v>3540</v>
      </c>
      <c r="P140" s="199"/>
      <c r="Q140" s="696">
        <v>3781.3</v>
      </c>
      <c r="R140" s="696"/>
      <c r="S140" s="696">
        <v>7855.8</v>
      </c>
      <c r="T140" s="696"/>
      <c r="U140" s="696">
        <v>7278.5</v>
      </c>
      <c r="V140" s="696"/>
      <c r="W140" s="696">
        <f>'Exhibit A'!$V49</f>
        <v>4437.6000000000004</v>
      </c>
      <c r="X140" s="696"/>
      <c r="Y140" s="696"/>
      <c r="Z140" s="199"/>
      <c r="AA140" s="200"/>
      <c r="AB140" s="199">
        <f>ROUND(SUM(C140:Y140),1)</f>
        <v>55832.800000000003</v>
      </c>
      <c r="AC140" s="199"/>
      <c r="AD140" s="200"/>
      <c r="AE140" s="199">
        <f>+'Exhibit A'!AD49</f>
        <v>46903.399999999994</v>
      </c>
      <c r="AF140" s="1629"/>
      <c r="AG140" s="199"/>
      <c r="AH140" s="199">
        <f>ROUND(SUM(AB140-AE140),1)</f>
        <v>8929.4</v>
      </c>
      <c r="AI140" s="66"/>
      <c r="AJ140" s="276">
        <f>ROUND(IF(AE140=0,0,AH140/ABS(AE140)),3)</f>
        <v>0.19</v>
      </c>
    </row>
    <row r="141" spans="1:44" ht="16.5" customHeight="1">
      <c r="A141" s="66" t="s">
        <v>149</v>
      </c>
      <c r="C141" s="776">
        <v>-5494.3</v>
      </c>
      <c r="D141" s="696"/>
      <c r="E141" s="776">
        <v>-2617</v>
      </c>
      <c r="F141" s="776"/>
      <c r="G141" s="776">
        <v>-6989.9</v>
      </c>
      <c r="H141" s="11"/>
      <c r="I141" s="776">
        <v>-3593.1</v>
      </c>
      <c r="J141" s="11"/>
      <c r="K141" s="776">
        <v>-3825.9</v>
      </c>
      <c r="L141" s="11"/>
      <c r="M141" s="776">
        <v>-6489.7</v>
      </c>
      <c r="N141" s="11"/>
      <c r="O141" s="776">
        <v>-3543.5</v>
      </c>
      <c r="P141" s="11"/>
      <c r="Q141" s="776">
        <v>-3784.9</v>
      </c>
      <c r="R141" s="696"/>
      <c r="S141" s="776">
        <v>-7853</v>
      </c>
      <c r="T141" s="696"/>
      <c r="U141" s="776">
        <v>-7281.2</v>
      </c>
      <c r="V141" s="776"/>
      <c r="W141" s="776">
        <f>'Exhibit A'!$V50</f>
        <v>-4442.7</v>
      </c>
      <c r="X141" s="776"/>
      <c r="Y141" s="776"/>
      <c r="Z141" s="11"/>
      <c r="AA141" s="206"/>
      <c r="AB141" s="201">
        <f>ROUND(SUM(C141:Y141),1)</f>
        <v>-55915.199999999997</v>
      </c>
      <c r="AC141" s="11"/>
      <c r="AD141" s="206"/>
      <c r="AE141" s="201">
        <f>+'Exhibit A'!AD50</f>
        <v>-46950.100000000006</v>
      </c>
      <c r="AF141" s="1631"/>
      <c r="AG141" s="11"/>
      <c r="AH141" s="201">
        <f>ROUND(SUM(-AB141+AE141),1)</f>
        <v>8965.1</v>
      </c>
      <c r="AI141" s="278"/>
      <c r="AJ141" s="544">
        <f>ROUND(IF(AE141=0,0,AH141/ABS(AE141)),3)</f>
        <v>0.191</v>
      </c>
      <c r="AK141" s="887"/>
    </row>
    <row r="142" spans="1:44" ht="16.5" customHeight="1">
      <c r="A142" s="66"/>
      <c r="C142" s="1044"/>
      <c r="D142" s="11"/>
      <c r="E142" s="199"/>
      <c r="F142" s="11"/>
      <c r="G142" s="199"/>
      <c r="H142" s="11"/>
      <c r="I142" s="199"/>
      <c r="J142" s="11"/>
      <c r="K142" s="199"/>
      <c r="L142" s="11"/>
      <c r="M142" s="199"/>
      <c r="N142" s="11"/>
      <c r="O142" s="199"/>
      <c r="P142" s="11"/>
      <c r="Q142" s="199"/>
      <c r="R142" s="11"/>
      <c r="S142" s="199"/>
      <c r="T142" s="11"/>
      <c r="U142" s="199"/>
      <c r="V142" s="11"/>
      <c r="W142" s="199"/>
      <c r="X142" s="11"/>
      <c r="Y142" s="199"/>
      <c r="Z142" s="11"/>
      <c r="AA142" s="206"/>
      <c r="AB142" s="199"/>
      <c r="AC142" s="11"/>
      <c r="AD142" s="206"/>
      <c r="AE142" s="199"/>
      <c r="AF142" s="1631"/>
      <c r="AG142" s="11"/>
      <c r="AH142" s="199"/>
      <c r="AI142" s="278"/>
      <c r="AJ142" s="293"/>
    </row>
    <row r="143" spans="1:44" ht="16.5" customHeight="1">
      <c r="A143" s="40" t="s">
        <v>150</v>
      </c>
      <c r="C143" s="775">
        <f>ROUND(SUM(C139:C141),1)</f>
        <v>-2.9</v>
      </c>
      <c r="D143" s="207"/>
      <c r="E143" s="775">
        <f>ROUND(SUM(E139:E141),1)</f>
        <v>-1.4</v>
      </c>
      <c r="F143" s="207"/>
      <c r="G143" s="775">
        <f>ROUND(SUM(G139:G141),1)</f>
        <v>-33.5</v>
      </c>
      <c r="H143" s="207"/>
      <c r="I143" s="775">
        <f>ROUND(SUM(I139:I141),1)</f>
        <v>-0.9</v>
      </c>
      <c r="J143" s="207"/>
      <c r="K143" s="775">
        <f>ROUND(SUM(K139:K141),1)</f>
        <v>-24.8</v>
      </c>
      <c r="L143" s="207"/>
      <c r="M143" s="775">
        <f>ROUND(SUM(M139:M141),1)</f>
        <v>-6.8</v>
      </c>
      <c r="N143" s="207"/>
      <c r="O143" s="775">
        <f>ROUND(SUM(O139:O141),1)</f>
        <v>-3.5</v>
      </c>
      <c r="P143" s="207"/>
      <c r="Q143" s="775">
        <f>ROUND(SUM(Q139:Q141),1)</f>
        <v>-3.6</v>
      </c>
      <c r="R143" s="207"/>
      <c r="S143" s="775">
        <f>ROUND(SUM(S139:S141),1)</f>
        <v>2.8</v>
      </c>
      <c r="T143" s="207"/>
      <c r="U143" s="775">
        <f>ROUND(SUM(U139:U141),1)</f>
        <v>-2.7</v>
      </c>
      <c r="V143" s="207"/>
      <c r="W143" s="775">
        <f>ROUND(SUM(W139:W141),1)</f>
        <v>-5.0999999999999996</v>
      </c>
      <c r="X143" s="207"/>
      <c r="Y143" s="775">
        <f>ROUND(SUM(Y139:Y141),1)</f>
        <v>0</v>
      </c>
      <c r="Z143" s="207"/>
      <c r="AA143" s="208"/>
      <c r="AB143" s="775">
        <f>ROUND(SUM(AB139:AB142),1)</f>
        <v>-82.4</v>
      </c>
      <c r="AC143" s="207"/>
      <c r="AD143" s="208"/>
      <c r="AE143" s="775">
        <f>SUM(AE139:AE142)</f>
        <v>458.29999999998836</v>
      </c>
      <c r="AF143" s="1632"/>
      <c r="AG143" s="207"/>
      <c r="AH143" s="775">
        <f>ROUND(SUM(+AH140-AH141+AH139),1)</f>
        <v>-540.70000000000005</v>
      </c>
      <c r="AI143" s="40"/>
      <c r="AJ143" s="886">
        <f>ROUND(IF(AE143=0,0,AH143/ABS(AE143)),3)</f>
        <v>-1.18</v>
      </c>
      <c r="AK143" s="134"/>
    </row>
    <row r="144" spans="1:44" ht="16.5" customHeight="1">
      <c r="A144" s="27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06"/>
      <c r="AB144" s="11"/>
      <c r="AC144" s="11"/>
      <c r="AD144" s="206"/>
      <c r="AE144" s="11"/>
      <c r="AF144" s="1631"/>
      <c r="AG144" s="11"/>
      <c r="AH144" s="274"/>
      <c r="AI144" s="278"/>
      <c r="AJ144" s="278"/>
    </row>
    <row r="145" spans="1:59" ht="16.5" customHeight="1">
      <c r="A145" s="40" t="s">
        <v>143</v>
      </c>
      <c r="C145" s="199"/>
      <c r="D145" s="11"/>
      <c r="E145" s="199"/>
      <c r="F145" s="11"/>
      <c r="G145" s="199"/>
      <c r="H145" s="11"/>
      <c r="I145" s="199"/>
      <c r="J145" s="11"/>
      <c r="K145" s="199"/>
      <c r="L145" s="11"/>
      <c r="M145" s="199"/>
      <c r="N145" s="11"/>
      <c r="O145" s="199"/>
      <c r="P145" s="11"/>
      <c r="Q145" s="199"/>
      <c r="R145" s="11"/>
      <c r="S145" s="199"/>
      <c r="T145" s="11"/>
      <c r="U145" s="199"/>
      <c r="V145" s="11"/>
      <c r="W145" s="199"/>
      <c r="X145" s="11"/>
      <c r="Y145" s="199"/>
      <c r="Z145" s="11"/>
      <c r="AA145" s="206"/>
      <c r="AB145" s="199"/>
      <c r="AC145" s="11"/>
      <c r="AD145" s="206"/>
      <c r="AE145" s="199"/>
      <c r="AF145" s="1631"/>
      <c r="AG145" s="11"/>
      <c r="AH145" s="274"/>
      <c r="AI145" s="278"/>
      <c r="AJ145" s="278"/>
    </row>
    <row r="146" spans="1:59" ht="16.5" customHeight="1">
      <c r="A146" s="40" t="s">
        <v>151</v>
      </c>
      <c r="C146" s="202"/>
      <c r="D146" s="207"/>
      <c r="E146" s="202"/>
      <c r="F146" s="207"/>
      <c r="G146" s="202"/>
      <c r="H146" s="207"/>
      <c r="I146" s="202"/>
      <c r="J146" s="207"/>
      <c r="K146" s="202"/>
      <c r="L146" s="207"/>
      <c r="M146" s="202"/>
      <c r="N146" s="207"/>
      <c r="O146" s="202"/>
      <c r="P146" s="207"/>
      <c r="Q146" s="202"/>
      <c r="R146" s="207"/>
      <c r="S146" s="202"/>
      <c r="T146" s="207"/>
      <c r="U146" s="202"/>
      <c r="V146" s="207"/>
      <c r="W146" s="202"/>
      <c r="X146" s="207"/>
      <c r="Y146" s="202"/>
      <c r="Z146" s="207"/>
      <c r="AA146" s="208"/>
      <c r="AB146" s="202"/>
      <c r="AC146" s="207"/>
      <c r="AD146" s="208"/>
      <c r="AE146" s="202"/>
      <c r="AF146" s="1631"/>
      <c r="AG146" s="11"/>
      <c r="AH146" s="13"/>
      <c r="AI146" s="40"/>
      <c r="AJ146" s="40"/>
      <c r="AK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6.5" customHeight="1">
      <c r="A147" s="40" t="s">
        <v>152</v>
      </c>
      <c r="C147" s="209">
        <f>ROUND(SUM(C136+C143),1)</f>
        <v>6333.8</v>
      </c>
      <c r="D147" s="207"/>
      <c r="E147" s="209">
        <f>ROUND(SUM(E136+E143),1)</f>
        <v>-3734</v>
      </c>
      <c r="F147" s="207"/>
      <c r="G147" s="209">
        <f>ROUND(SUM(G136+G143),1)</f>
        <v>4566</v>
      </c>
      <c r="H147" s="207"/>
      <c r="I147" s="209">
        <f>ROUND(SUM(I136+I143),1)</f>
        <v>-1133.4000000000001</v>
      </c>
      <c r="J147" s="207"/>
      <c r="K147" s="209">
        <f>ROUND(SUM(K136+K143),1)</f>
        <v>475.9</v>
      </c>
      <c r="L147" s="207"/>
      <c r="M147" s="209">
        <f>ROUND(SUM(M136+M143),1)</f>
        <v>1610.7</v>
      </c>
      <c r="N147" s="207"/>
      <c r="O147" s="209">
        <f>ROUND(SUM(O136+O143),1)</f>
        <v>-6121.9</v>
      </c>
      <c r="P147" s="207"/>
      <c r="Q147" s="209">
        <f>ROUND(SUM(Q136+Q143),1)</f>
        <v>-1136.7</v>
      </c>
      <c r="R147" s="207"/>
      <c r="S147" s="209">
        <f>ROUND(SUM(S136+S143),1)</f>
        <v>5304.9</v>
      </c>
      <c r="T147" s="207"/>
      <c r="U147" s="209">
        <f>ROUND(SUM(U136+U143),1)</f>
        <v>3306.6</v>
      </c>
      <c r="V147" s="207"/>
      <c r="W147" s="209">
        <f>ROUND(SUM(W136+W143),1)</f>
        <v>2322</v>
      </c>
      <c r="X147" s="207"/>
      <c r="Y147" s="209">
        <f>ROUND(SUM(Y136+Y143),1)</f>
        <v>0</v>
      </c>
      <c r="Z147" s="207"/>
      <c r="AA147" s="208"/>
      <c r="AB147" s="209">
        <f>ROUND(SUM(AB136+AB143),1)</f>
        <v>11793.9</v>
      </c>
      <c r="AC147" s="207"/>
      <c r="AD147" s="208"/>
      <c r="AE147" s="209">
        <f>AE136+AE143</f>
        <v>10838.099999999988</v>
      </c>
      <c r="AF147" s="1631"/>
      <c r="AG147" s="11"/>
      <c r="AH147" s="890">
        <f>ROUND(SUM(AB147-AE147),1)</f>
        <v>955.8</v>
      </c>
      <c r="AI147" s="40"/>
      <c r="AJ147" s="886">
        <f>ROUND(IF(AE147=0,0,AH147/ABS(AE147)),3)</f>
        <v>8.7999999999999995E-2</v>
      </c>
      <c r="AK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row>
    <row r="148" spans="1:59" ht="16.5" customHeight="1">
      <c r="A148" s="40"/>
      <c r="C148" s="1038"/>
      <c r="E148" s="1038"/>
      <c r="G148" s="1038"/>
      <c r="I148" s="1038"/>
      <c r="K148" s="1038"/>
      <c r="M148" s="1038"/>
      <c r="O148" s="1038"/>
      <c r="Q148" s="1038"/>
      <c r="S148" s="1038"/>
      <c r="U148" s="1038"/>
      <c r="W148" s="1038"/>
      <c r="Y148" s="1038"/>
      <c r="AA148" s="210"/>
      <c r="AB148" s="1038"/>
      <c r="AD148" s="210"/>
      <c r="AE148" s="1038"/>
      <c r="AF148" s="1631"/>
      <c r="AG148" s="11"/>
      <c r="AH148" s="278"/>
      <c r="AI148" s="278"/>
      <c r="AJ148" s="278"/>
    </row>
    <row r="149" spans="1:59" ht="16.5" customHeight="1" thickBot="1">
      <c r="A149" s="211" t="s">
        <v>441</v>
      </c>
      <c r="C149" s="212">
        <f>ROUND(SUM(C16+C147),1)</f>
        <v>72246</v>
      </c>
      <c r="D149" s="71"/>
      <c r="E149" s="212">
        <f>ROUND(SUM(E16+E147),1)</f>
        <v>68512</v>
      </c>
      <c r="F149" s="71"/>
      <c r="G149" s="212">
        <f>ROUND(SUM(G16+G147),1)</f>
        <v>73078</v>
      </c>
      <c r="H149" s="71"/>
      <c r="I149" s="212">
        <f>ROUND(SUM(I16+I147),1)</f>
        <v>71944.600000000006</v>
      </c>
      <c r="J149" s="213"/>
      <c r="K149" s="212">
        <f>ROUND(SUM(K16+K147),1)</f>
        <v>72420.5</v>
      </c>
      <c r="L149" s="213"/>
      <c r="M149" s="212">
        <f>ROUND(SUM(M16+M147),1)</f>
        <v>74031.199999999997</v>
      </c>
      <c r="N149" s="213"/>
      <c r="O149" s="212">
        <f>ROUND(SUM(O16+O147),1)</f>
        <v>67909.3</v>
      </c>
      <c r="P149" s="213"/>
      <c r="Q149" s="212">
        <f>ROUND(SUM(Q16+Q147),1)</f>
        <v>66772.600000000006</v>
      </c>
      <c r="R149" s="213"/>
      <c r="S149" s="212">
        <f>ROUND(SUM(S16+S147),1)</f>
        <v>72077.5</v>
      </c>
      <c r="T149" s="213"/>
      <c r="U149" s="212">
        <f>ROUND(SUM(U16+U147),1)</f>
        <v>75384.100000000006</v>
      </c>
      <c r="V149" s="213"/>
      <c r="W149" s="212">
        <f>ROUND(SUM(W16+W147),1)</f>
        <v>77706.100000000006</v>
      </c>
      <c r="X149" s="213"/>
      <c r="Y149" s="212">
        <f>ROUND(SUM(Y16+Y147),1)</f>
        <v>0</v>
      </c>
      <c r="Z149" s="71"/>
      <c r="AA149" s="214"/>
      <c r="AB149" s="212">
        <f>ROUND(SUM(AB16+AB147),1)</f>
        <v>77706.100000000006</v>
      </c>
      <c r="AC149" s="71"/>
      <c r="AD149" s="214"/>
      <c r="AE149" s="212">
        <f>AE16+AE147</f>
        <v>76793.799999999974</v>
      </c>
      <c r="AF149" s="1631"/>
      <c r="AG149" s="11"/>
      <c r="AH149" s="212">
        <f>ROUND(SUM(AB149-AE149),1)</f>
        <v>912.3</v>
      </c>
      <c r="AI149" s="40"/>
      <c r="AJ149" s="888">
        <f>ROUND(IF(AE149=0,0,AH149/ABS(AE149)),3)</f>
        <v>1.2E-2</v>
      </c>
      <c r="AK149" s="134"/>
    </row>
    <row r="150" spans="1:59" ht="16.5" customHeight="1" thickTop="1">
      <c r="A150" s="215"/>
      <c r="AH150" s="278"/>
      <c r="AI150" s="278"/>
      <c r="AJ150" s="278"/>
    </row>
    <row r="151" spans="1:59" ht="16.5" customHeight="1">
      <c r="A151" s="1045" t="s">
        <v>442</v>
      </c>
      <c r="AH151" s="278"/>
      <c r="AI151" s="278"/>
      <c r="AJ151" s="278"/>
    </row>
    <row r="152" spans="1:59" ht="16.5" customHeight="1">
      <c r="AH152" s="278"/>
      <c r="AI152" s="278"/>
      <c r="AJ152" s="278"/>
    </row>
    <row r="153" spans="1:59" ht="16.5" customHeight="1">
      <c r="A153" s="374"/>
      <c r="AH153" s="278"/>
      <c r="AI153" s="278"/>
      <c r="AJ153" s="278"/>
    </row>
    <row r="154" spans="1:59" ht="16.5" customHeight="1">
      <c r="A154" s="374"/>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sheetData>
  <mergeCells count="2">
    <mergeCell ref="AC5:AJ5"/>
    <mergeCell ref="AB12:AJ12"/>
  </mergeCells>
  <printOptions horizontalCentered="1"/>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69140625" defaultRowHeight="16.5" customHeight="1"/>
  <cols>
    <col min="1" max="1" width="43" style="62" customWidth="1"/>
    <col min="2" max="2" width="1.69140625" style="62" customWidth="1"/>
    <col min="3" max="3" width="13.07421875" style="62" customWidth="1"/>
    <col min="4" max="4" width="1.69140625" style="62" customWidth="1"/>
    <col min="5" max="5" width="13.07421875" style="62" customWidth="1"/>
    <col min="6" max="6" width="1.69140625" style="62" customWidth="1"/>
    <col min="7" max="7" width="13.53515625" style="62" customWidth="1"/>
    <col min="8" max="8" width="1.69140625" style="62" customWidth="1"/>
    <col min="9" max="9" width="13.69140625" style="62" customWidth="1"/>
    <col min="10" max="10" width="1.69140625" style="62" customWidth="1"/>
    <col min="11" max="11" width="14.53515625" style="62" customWidth="1"/>
    <col min="12" max="12" width="1.69140625" style="62" customWidth="1"/>
    <col min="13" max="13" width="13.07421875" style="62" customWidth="1"/>
    <col min="14" max="14" width="1.69140625" style="62" customWidth="1"/>
    <col min="15" max="15" width="14.07421875" style="62" customWidth="1"/>
    <col min="16" max="16" width="1.69140625" style="62" customWidth="1"/>
    <col min="17" max="17" width="13.07421875" style="62" customWidth="1"/>
    <col min="18" max="18" width="1.69140625" style="62" customWidth="1"/>
    <col min="19" max="19" width="13.69140625" style="62" customWidth="1"/>
    <col min="20" max="20" width="1.69140625" style="62" customWidth="1"/>
    <col min="21" max="21" width="13" style="62" customWidth="1"/>
    <col min="22" max="22" width="1.69140625" style="62" customWidth="1"/>
    <col min="23" max="23" width="13.07421875" style="62" customWidth="1"/>
    <col min="24" max="24" width="1.69140625" style="62" customWidth="1"/>
    <col min="25" max="25" width="13.07421875" style="62" customWidth="1"/>
    <col min="26" max="27" width="1.69140625" style="62" customWidth="1"/>
    <col min="28" max="28" width="15" style="62" customWidth="1"/>
    <col min="29" max="30" width="1.69140625" style="62" customWidth="1"/>
    <col min="31" max="31" width="13.69140625" style="62" customWidth="1"/>
    <col min="32" max="33" width="1.69140625" style="62" customWidth="1"/>
    <col min="34" max="34" width="12.69140625" style="62" bestFit="1" customWidth="1"/>
    <col min="35" max="35" width="1" style="62" customWidth="1"/>
    <col min="36" max="36" width="12.07421875" style="62" bestFit="1" customWidth="1"/>
    <col min="37" max="16384" width="8.69140625" style="62"/>
  </cols>
  <sheetData>
    <row r="1" spans="1:37" ht="15.5">
      <c r="A1" s="772" t="s">
        <v>97</v>
      </c>
    </row>
    <row r="2" spans="1:37" ht="15.5">
      <c r="A2" s="374"/>
    </row>
    <row r="3" spans="1:37" ht="23">
      <c r="A3" s="64"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I3" s="66"/>
    </row>
    <row r="4" spans="1:37" ht="23">
      <c r="A4" s="64" t="s">
        <v>156</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66"/>
      <c r="AG4" s="66"/>
      <c r="AI4" s="66"/>
    </row>
    <row r="5" spans="1:37" ht="23.25" customHeight="1">
      <c r="A5" s="65" t="s">
        <v>335</v>
      </c>
      <c r="B5" s="66"/>
      <c r="C5" s="66"/>
      <c r="D5" s="66"/>
      <c r="E5" s="66"/>
      <c r="F5" s="66"/>
      <c r="G5" s="66"/>
      <c r="H5" s="66"/>
      <c r="I5" s="66"/>
      <c r="J5" s="66"/>
      <c r="K5" s="66"/>
      <c r="L5" s="66"/>
      <c r="M5" s="66"/>
      <c r="N5" s="66"/>
      <c r="O5" s="66"/>
      <c r="P5" s="66"/>
      <c r="Q5" s="66"/>
      <c r="R5" s="66"/>
      <c r="S5" s="66"/>
      <c r="T5" s="66"/>
      <c r="U5" s="66"/>
      <c r="V5" s="66"/>
      <c r="W5" s="66"/>
      <c r="X5" s="66"/>
      <c r="Y5" s="66"/>
      <c r="Z5" s="66"/>
      <c r="AA5" s="66"/>
      <c r="AC5" s="2122"/>
      <c r="AD5" s="2123"/>
      <c r="AE5" s="2123"/>
      <c r="AF5" s="2123"/>
      <c r="AG5" s="2123"/>
      <c r="AH5" s="2123"/>
      <c r="AI5" s="2123"/>
      <c r="AJ5" s="2123"/>
    </row>
    <row r="6" spans="1:37" ht="23">
      <c r="A6" s="65"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I6" s="66"/>
    </row>
    <row r="7" spans="1:37" ht="23.25" customHeight="1">
      <c r="A7" s="64"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66"/>
      <c r="AG7" s="66"/>
      <c r="AI7" s="66"/>
    </row>
    <row r="8" spans="1:37" ht="15.5">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66"/>
      <c r="AI8" s="66"/>
    </row>
    <row r="9" spans="1:37" ht="15.5">
      <c r="A9" s="66"/>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I9" s="66"/>
    </row>
    <row r="10" spans="1:37" ht="15.5">
      <c r="A10" s="66"/>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I10" s="66"/>
    </row>
    <row r="11" spans="1:37" ht="15.5">
      <c r="A11" s="66"/>
      <c r="B11" s="66"/>
      <c r="C11" s="66" t="s">
        <v>103</v>
      </c>
      <c r="D11" s="66" t="s">
        <v>103</v>
      </c>
      <c r="E11" s="66"/>
      <c r="F11" s="66"/>
      <c r="G11" s="66"/>
      <c r="H11" s="66"/>
      <c r="I11" s="66"/>
      <c r="J11" s="66"/>
      <c r="K11" s="66"/>
      <c r="L11" s="66"/>
      <c r="M11" s="66"/>
      <c r="N11" s="66"/>
      <c r="O11" s="66"/>
      <c r="P11" s="66"/>
      <c r="Q11" s="66"/>
      <c r="R11" s="66"/>
      <c r="S11" s="66"/>
      <c r="T11" s="66"/>
      <c r="U11" s="66"/>
      <c r="V11" s="66"/>
      <c r="W11" s="66"/>
      <c r="X11" s="66"/>
      <c r="Y11" s="66"/>
      <c r="Z11" s="66"/>
      <c r="AA11" s="66"/>
      <c r="AC11" s="66"/>
      <c r="AD11" s="66"/>
      <c r="AE11" s="66"/>
      <c r="AF11" s="66"/>
      <c r="AG11" s="66"/>
      <c r="AI11" s="66"/>
    </row>
    <row r="12" spans="1:37" ht="15.5">
      <c r="A12" s="66"/>
      <c r="B12" s="66"/>
      <c r="C12" s="66"/>
      <c r="D12" s="66"/>
      <c r="E12" s="66"/>
      <c r="F12" s="66"/>
      <c r="G12" s="66"/>
      <c r="H12" s="66"/>
      <c r="I12" s="66"/>
      <c r="J12" s="66"/>
      <c r="K12" s="66"/>
      <c r="L12" s="66"/>
      <c r="M12" s="66"/>
      <c r="N12" s="66"/>
      <c r="O12" s="66"/>
      <c r="P12" s="66"/>
      <c r="Q12" s="66"/>
      <c r="R12" s="66"/>
      <c r="S12" s="66"/>
      <c r="T12" s="66"/>
      <c r="U12" s="66"/>
      <c r="V12" s="66"/>
      <c r="W12" s="66"/>
      <c r="X12" s="66"/>
      <c r="Z12" s="66"/>
      <c r="AA12" s="194"/>
      <c r="AB12" s="2125" t="str">
        <f>'Cashflow Governmental'!AB12</f>
        <v>11 Months Ended February 28</v>
      </c>
      <c r="AC12" s="2125"/>
      <c r="AD12" s="2125"/>
      <c r="AE12" s="2125"/>
      <c r="AF12" s="2125"/>
      <c r="AG12" s="2125"/>
      <c r="AH12" s="2125"/>
      <c r="AI12" s="2125"/>
      <c r="AJ12" s="2125"/>
    </row>
    <row r="13" spans="1:37" ht="15.5">
      <c r="A13" s="66"/>
      <c r="B13" s="66"/>
      <c r="C13" s="570" t="str">
        <f>'Cashflow Governmental'!C13</f>
        <v>2024</v>
      </c>
      <c r="D13" s="192"/>
      <c r="E13" s="192"/>
      <c r="F13" s="192"/>
      <c r="G13" s="192"/>
      <c r="H13" s="192"/>
      <c r="I13" s="192"/>
      <c r="J13" s="192"/>
      <c r="K13" s="192"/>
      <c r="L13" s="192"/>
      <c r="M13" s="192"/>
      <c r="N13" s="192"/>
      <c r="O13" s="192"/>
      <c r="P13" s="192"/>
      <c r="Q13" s="192"/>
      <c r="R13" s="192"/>
      <c r="S13" s="192"/>
      <c r="T13" s="192"/>
      <c r="U13" s="570">
        <f>'Cashflow Governmental'!U13</f>
        <v>2025</v>
      </c>
      <c r="V13" s="192"/>
      <c r="W13" s="192"/>
      <c r="X13" s="192"/>
      <c r="Y13" s="192"/>
      <c r="Z13" s="192"/>
      <c r="AA13" s="192"/>
      <c r="AB13" s="192"/>
      <c r="AC13" s="192"/>
      <c r="AD13" s="192"/>
      <c r="AE13" s="192"/>
      <c r="AF13" s="192"/>
      <c r="AG13" s="192"/>
      <c r="AH13" s="327" t="s">
        <v>110</v>
      </c>
      <c r="AI13" s="877"/>
      <c r="AJ13" s="327" t="s">
        <v>111</v>
      </c>
    </row>
    <row r="14" spans="1:37" ht="15.5">
      <c r="A14" s="66"/>
      <c r="B14" s="66"/>
      <c r="C14" s="327" t="s">
        <v>336</v>
      </c>
      <c r="D14" s="192"/>
      <c r="E14" s="327" t="s">
        <v>337</v>
      </c>
      <c r="F14" s="192"/>
      <c r="G14" s="327" t="s">
        <v>338</v>
      </c>
      <c r="H14" s="192"/>
      <c r="I14" s="327" t="s">
        <v>339</v>
      </c>
      <c r="J14" s="192"/>
      <c r="K14" s="327" t="s">
        <v>340</v>
      </c>
      <c r="L14" s="192"/>
      <c r="M14" s="327" t="s">
        <v>341</v>
      </c>
      <c r="N14" s="192"/>
      <c r="O14" s="327" t="s">
        <v>342</v>
      </c>
      <c r="P14" s="192"/>
      <c r="Q14" s="889" t="s">
        <v>343</v>
      </c>
      <c r="R14" s="192"/>
      <c r="S14" s="327" t="s">
        <v>344</v>
      </c>
      <c r="T14" s="192"/>
      <c r="U14" s="327" t="s">
        <v>345</v>
      </c>
      <c r="V14" s="192"/>
      <c r="W14" s="327" t="s">
        <v>346</v>
      </c>
      <c r="X14" s="192"/>
      <c r="Y14" s="327" t="s">
        <v>347</v>
      </c>
      <c r="Z14" s="192"/>
      <c r="AA14" s="192"/>
      <c r="AB14" s="873" t="str">
        <f>'Cashflow Governmental'!AB14</f>
        <v>2025</v>
      </c>
      <c r="AC14" s="192"/>
      <c r="AD14" s="192"/>
      <c r="AE14" s="873" t="str">
        <f>'Cashflow Governmental'!AE14</f>
        <v>2024</v>
      </c>
      <c r="AF14" s="192"/>
      <c r="AG14" s="192"/>
      <c r="AH14" s="889" t="s">
        <v>112</v>
      </c>
      <c r="AI14" s="877"/>
      <c r="AJ14" s="889" t="s">
        <v>113</v>
      </c>
    </row>
    <row r="15" spans="1:37" ht="5.25" customHeight="1">
      <c r="A15" s="66"/>
      <c r="B15" s="66"/>
      <c r="C15" s="1038"/>
      <c r="D15" s="66"/>
      <c r="E15" s="1038"/>
      <c r="F15" s="66"/>
      <c r="G15" s="1038"/>
      <c r="H15" s="66"/>
      <c r="I15" s="1038"/>
      <c r="J15" s="66"/>
      <c r="K15" s="1038"/>
      <c r="L15" s="66"/>
      <c r="M15" s="1038"/>
      <c r="N15" s="66"/>
      <c r="O15" s="1038" t="s">
        <v>103</v>
      </c>
      <c r="P15" s="66"/>
      <c r="Q15" s="195"/>
      <c r="R15" s="66"/>
      <c r="S15" s="1038"/>
      <c r="T15" s="66"/>
      <c r="U15" s="1038" t="s">
        <v>103</v>
      </c>
      <c r="V15" s="66"/>
      <c r="W15" s="1038"/>
      <c r="X15" s="66"/>
      <c r="Y15" s="1038"/>
      <c r="Z15" s="66"/>
      <c r="AA15" s="66"/>
      <c r="AB15" s="1038"/>
      <c r="AC15" s="66"/>
      <c r="AD15" s="66"/>
      <c r="AE15" s="1038"/>
      <c r="AF15" s="66"/>
      <c r="AG15" s="66"/>
      <c r="AI15" s="66"/>
    </row>
    <row r="16" spans="1:37" ht="15.5">
      <c r="A16" s="193" t="s">
        <v>348</v>
      </c>
      <c r="B16" s="66"/>
      <c r="C16" s="195">
        <f>'Exhibit F'!D13+'Exh D Special Revenue State Fed'!G41+'Exhibit H'!B13</f>
        <v>56077.299999999996</v>
      </c>
      <c r="D16" s="195"/>
      <c r="E16" s="195">
        <f>C148</f>
        <v>60412</v>
      </c>
      <c r="F16" s="195"/>
      <c r="G16" s="195">
        <f>E148</f>
        <v>56826.9</v>
      </c>
      <c r="H16" s="195"/>
      <c r="I16" s="195">
        <f>G148</f>
        <v>62062.2</v>
      </c>
      <c r="J16" s="195"/>
      <c r="K16" s="195">
        <f>I148</f>
        <v>61531.7</v>
      </c>
      <c r="L16" s="195"/>
      <c r="M16" s="195">
        <f>K148</f>
        <v>61317.4</v>
      </c>
      <c r="N16" s="195"/>
      <c r="O16" s="195">
        <f>M148</f>
        <v>62354</v>
      </c>
      <c r="P16" s="195"/>
      <c r="Q16" s="195">
        <f>O148</f>
        <v>57021.3</v>
      </c>
      <c r="R16" s="195"/>
      <c r="S16" s="195">
        <f>Q148</f>
        <v>55743.3</v>
      </c>
      <c r="T16" s="195"/>
      <c r="U16" s="195">
        <f>S148</f>
        <v>64857.1</v>
      </c>
      <c r="V16" s="195"/>
      <c r="W16" s="195">
        <f>U148</f>
        <v>69444.5</v>
      </c>
      <c r="X16" s="195"/>
      <c r="Y16" s="195"/>
      <c r="Z16" s="195"/>
      <c r="AA16" s="196"/>
      <c r="AB16" s="195">
        <f>C16</f>
        <v>56077.299999999996</v>
      </c>
      <c r="AC16" s="195"/>
      <c r="AD16" s="878"/>
      <c r="AE16" s="195">
        <f>'Exhibit F'!AF13+'Exhibit G State'!AF13+'Exhibit H'!AD13</f>
        <v>52723.799999999996</v>
      </c>
      <c r="AF16" s="195"/>
      <c r="AG16" s="1621"/>
      <c r="AH16" s="195">
        <f>ROUND(SUM(AB16-AE16),1)</f>
        <v>3353.5</v>
      </c>
      <c r="AI16" s="192"/>
      <c r="AJ16" s="78">
        <f>ROUND(SUM(AH16/AE16),3)</f>
        <v>6.4000000000000001E-2</v>
      </c>
      <c r="AK16" s="134"/>
    </row>
    <row r="17" spans="1:36" ht="15.5">
      <c r="A17" s="66"/>
      <c r="B17" s="66"/>
      <c r="C17" s="66" t="s">
        <v>103</v>
      </c>
      <c r="D17" s="66"/>
      <c r="E17" s="197"/>
      <c r="F17" s="66"/>
      <c r="G17" s="197"/>
      <c r="H17" s="66"/>
      <c r="I17" s="197"/>
      <c r="J17" s="66"/>
      <c r="K17" s="197"/>
      <c r="L17" s="66"/>
      <c r="M17" s="197"/>
      <c r="N17" s="66"/>
      <c r="O17" s="197"/>
      <c r="P17" s="66"/>
      <c r="Q17" s="197"/>
      <c r="R17" s="66"/>
      <c r="S17" s="197"/>
      <c r="T17" s="66"/>
      <c r="U17" s="197"/>
      <c r="V17" s="66"/>
      <c r="W17" s="197"/>
      <c r="X17" s="66"/>
      <c r="Y17" s="197"/>
      <c r="Z17" s="66"/>
      <c r="AA17" s="401"/>
      <c r="AB17" s="66" t="s">
        <v>103</v>
      </c>
      <c r="AC17" s="66"/>
      <c r="AD17" s="879"/>
      <c r="AE17" s="66" t="s">
        <v>103</v>
      </c>
      <c r="AF17" s="66"/>
      <c r="AG17" s="1620"/>
      <c r="AH17" s="278"/>
      <c r="AI17" s="66"/>
      <c r="AJ17" s="278"/>
    </row>
    <row r="18" spans="1:36" ht="15.5">
      <c r="A18" s="40" t="s">
        <v>114</v>
      </c>
      <c r="B18" s="66"/>
      <c r="C18" s="66"/>
      <c r="D18" s="66"/>
      <c r="E18" s="197"/>
      <c r="F18" s="66"/>
      <c r="G18" s="197"/>
      <c r="H18" s="66"/>
      <c r="I18" s="197"/>
      <c r="J18" s="66"/>
      <c r="K18" s="197"/>
      <c r="L18" s="66"/>
      <c r="M18" s="197"/>
      <c r="N18" s="66"/>
      <c r="O18" s="197"/>
      <c r="P18" s="66"/>
      <c r="Q18" s="197"/>
      <c r="R18" s="66"/>
      <c r="S18" s="197"/>
      <c r="T18" s="66"/>
      <c r="U18" s="197"/>
      <c r="V18" s="66"/>
      <c r="W18" s="197"/>
      <c r="X18" s="66"/>
      <c r="Y18" s="197"/>
      <c r="Z18" s="66"/>
      <c r="AA18" s="401"/>
      <c r="AB18" s="66"/>
      <c r="AC18" s="66"/>
      <c r="AD18" s="879"/>
      <c r="AE18" s="66"/>
      <c r="AF18" s="66"/>
      <c r="AG18" s="1620"/>
      <c r="AH18" s="278"/>
      <c r="AI18" s="66"/>
      <c r="AJ18" s="278"/>
    </row>
    <row r="19" spans="1:36" ht="15.5">
      <c r="A19" s="1248" t="s">
        <v>349</v>
      </c>
      <c r="B19" s="66"/>
      <c r="C19" s="66"/>
      <c r="D19" s="66"/>
      <c r="E19" s="197"/>
      <c r="F19" s="66"/>
      <c r="G19" s="197"/>
      <c r="H19" s="66"/>
      <c r="I19" s="197"/>
      <c r="J19" s="66"/>
      <c r="K19" s="197"/>
      <c r="L19" s="66"/>
      <c r="M19" s="197"/>
      <c r="N19" s="66"/>
      <c r="O19" s="197"/>
      <c r="P19" s="66"/>
      <c r="Q19" s="197"/>
      <c r="R19" s="66"/>
      <c r="S19" s="197"/>
      <c r="T19" s="66"/>
      <c r="U19" s="197"/>
      <c r="V19" s="66"/>
      <c r="W19" s="197"/>
      <c r="X19" s="66"/>
      <c r="Y19" s="197"/>
      <c r="Z19" s="66"/>
      <c r="AA19" s="198"/>
      <c r="AB19" s="66"/>
      <c r="AC19" s="66"/>
      <c r="AD19" s="879"/>
      <c r="AE19" s="66"/>
      <c r="AF19" s="66"/>
      <c r="AG19" s="1620"/>
      <c r="AH19" s="278"/>
      <c r="AI19" s="66"/>
      <c r="AJ19" s="278"/>
    </row>
    <row r="20" spans="1:36" ht="15.5">
      <c r="A20" s="423" t="s">
        <v>443</v>
      </c>
      <c r="B20" s="66"/>
      <c r="C20" s="66"/>
      <c r="D20" s="66"/>
      <c r="E20" s="199"/>
      <c r="F20" s="66"/>
      <c r="G20" s="199"/>
      <c r="H20" s="66"/>
      <c r="I20" s="199"/>
      <c r="J20" s="66"/>
      <c r="K20" s="199"/>
      <c r="L20" s="66"/>
      <c r="M20" s="199"/>
      <c r="N20" s="66"/>
      <c r="O20" s="199"/>
      <c r="P20" s="66"/>
      <c r="Q20" s="197"/>
      <c r="R20" s="66"/>
      <c r="S20" s="197"/>
      <c r="T20" s="66"/>
      <c r="U20" s="197"/>
      <c r="V20" s="66"/>
      <c r="W20" s="197"/>
      <c r="X20" s="66"/>
      <c r="Y20" s="197"/>
      <c r="Z20" s="66"/>
      <c r="AA20" s="401"/>
      <c r="AB20" s="66"/>
      <c r="AC20" s="66"/>
      <c r="AD20" s="879"/>
      <c r="AE20" s="66"/>
      <c r="AF20" s="66"/>
      <c r="AG20" s="1620"/>
      <c r="AH20" s="278"/>
      <c r="AI20" s="66"/>
      <c r="AJ20" s="278"/>
    </row>
    <row r="21" spans="1:36" ht="15.5">
      <c r="A21" s="294" t="s">
        <v>351</v>
      </c>
      <c r="B21" s="66"/>
      <c r="C21" s="199">
        <f>+'Exhibit F'!D18</f>
        <v>4294.5</v>
      </c>
      <c r="D21" s="199"/>
      <c r="E21" s="199">
        <f>+'Exhibit F'!F18</f>
        <v>4554.5</v>
      </c>
      <c r="F21" s="199"/>
      <c r="G21" s="199">
        <f>+'Exhibit F'!H18</f>
        <v>3816.2999999999993</v>
      </c>
      <c r="H21" s="199"/>
      <c r="I21" s="199">
        <f>+'Exhibit F'!J18</f>
        <v>4306.1000000000022</v>
      </c>
      <c r="J21" s="199"/>
      <c r="K21" s="199">
        <f>+'Exhibit F'!L18</f>
        <v>3966</v>
      </c>
      <c r="L21" s="199"/>
      <c r="M21" s="199">
        <f>+'Exhibit F'!N18</f>
        <v>3815.5999999999985</v>
      </c>
      <c r="N21" s="199"/>
      <c r="O21" s="199">
        <f>+'Exhibit F'!P18</f>
        <v>4235.2000000000007</v>
      </c>
      <c r="P21" s="66"/>
      <c r="Q21" s="199">
        <f>+'Exhibit F'!R18</f>
        <v>4177.9999999999964</v>
      </c>
      <c r="R21" s="199"/>
      <c r="S21" s="199">
        <f>+'Exhibit F'!T18</f>
        <v>5668.8000000000029</v>
      </c>
      <c r="T21" s="199"/>
      <c r="U21" s="199">
        <f>+'Exhibit F'!V18</f>
        <v>6780.4000000000015</v>
      </c>
      <c r="V21" s="199"/>
      <c r="W21" s="199">
        <f>+'Exhibit F'!X18</f>
        <v>7382.5999999999985</v>
      </c>
      <c r="X21" s="199"/>
      <c r="Y21" s="199"/>
      <c r="Z21" s="66"/>
      <c r="AA21" s="401"/>
      <c r="AB21" s="199">
        <f>ROUND(SUM(C21:Y21),1)</f>
        <v>52998</v>
      </c>
      <c r="AC21" s="66"/>
      <c r="AD21" s="879"/>
      <c r="AE21" s="199">
        <f>+'Exhibit F'!AF18</f>
        <v>48602.6</v>
      </c>
      <c r="AF21" s="66"/>
      <c r="AG21" s="1620"/>
      <c r="AH21" s="274">
        <f>ROUND(SUM(+AB21-AE21),1)</f>
        <v>4395.3999999999996</v>
      </c>
      <c r="AI21" s="67"/>
      <c r="AJ21" s="293">
        <f t="shared" ref="AJ21:AJ25" si="0">ROUND(SUM(+AH21/ABS(AE21)),3)</f>
        <v>0.09</v>
      </c>
    </row>
    <row r="22" spans="1:36" ht="15.5">
      <c r="A22" s="294" t="s">
        <v>352</v>
      </c>
      <c r="B22" s="66"/>
      <c r="C22" s="199">
        <f>+'Exhibit F'!D19</f>
        <v>5344.2</v>
      </c>
      <c r="D22" s="199"/>
      <c r="E22" s="199">
        <f>+'Exhibit F'!F19</f>
        <v>102.10000000000036</v>
      </c>
      <c r="F22" s="199"/>
      <c r="G22" s="199">
        <f>+'Exhibit F'!H19</f>
        <v>1571.6999999999998</v>
      </c>
      <c r="H22" s="199"/>
      <c r="I22" s="199">
        <f>+'Exhibit F'!J19</f>
        <v>118.5</v>
      </c>
      <c r="J22" s="199"/>
      <c r="K22" s="199">
        <f>+'Exhibit F'!L19</f>
        <v>98.800000000000182</v>
      </c>
      <c r="L22" s="199"/>
      <c r="M22" s="199">
        <f>+'Exhibit F'!N19</f>
        <v>1801.5999999999995</v>
      </c>
      <c r="N22" s="199"/>
      <c r="O22" s="199">
        <f>+'Exhibit F'!P19</f>
        <v>177.60000000000036</v>
      </c>
      <c r="P22" s="66"/>
      <c r="Q22" s="199">
        <f>+'Exhibit F'!R19</f>
        <v>93.5</v>
      </c>
      <c r="R22" s="199"/>
      <c r="S22" s="199">
        <f>+'Exhibit F'!T19</f>
        <v>232.29999999999927</v>
      </c>
      <c r="T22" s="199"/>
      <c r="U22" s="199">
        <f>+'Exhibit F'!V19</f>
        <v>2523.8000000000011</v>
      </c>
      <c r="V22" s="199"/>
      <c r="W22" s="199">
        <f>+'Exhibit F'!X19</f>
        <v>118.69999999999891</v>
      </c>
      <c r="X22" s="199"/>
      <c r="Y22" s="199"/>
      <c r="Z22" s="66"/>
      <c r="AA22" s="401"/>
      <c r="AB22" s="199">
        <f>ROUND(SUM(C22:Y22),1)</f>
        <v>12182.8</v>
      </c>
      <c r="AC22" s="66"/>
      <c r="AD22" s="879"/>
      <c r="AE22" s="199">
        <f>+'Exhibit F'!AF19</f>
        <v>10685.8</v>
      </c>
      <c r="AF22" s="66"/>
      <c r="AG22" s="1620"/>
      <c r="AH22" s="274">
        <f t="shared" ref="AH22:AH28" si="1">ROUND(SUM(+AB22-AE22),1)</f>
        <v>1497</v>
      </c>
      <c r="AI22" s="67"/>
      <c r="AJ22" s="621">
        <f t="shared" si="0"/>
        <v>0.14000000000000001</v>
      </c>
    </row>
    <row r="23" spans="1:36" ht="15.5">
      <c r="A23" s="294" t="s">
        <v>353</v>
      </c>
      <c r="B23" s="66"/>
      <c r="C23" s="199">
        <f>+'Exhibit F'!D20</f>
        <v>2160</v>
      </c>
      <c r="D23" s="199"/>
      <c r="E23" s="199">
        <f>+'Exhibit F'!F20</f>
        <v>95.5</v>
      </c>
      <c r="F23" s="199"/>
      <c r="G23" s="199">
        <f>+'Exhibit F'!H20</f>
        <v>68.800000000000182</v>
      </c>
      <c r="H23" s="199"/>
      <c r="I23" s="199">
        <f>+'Exhibit F'!J20</f>
        <v>70.199999999999818</v>
      </c>
      <c r="J23" s="199"/>
      <c r="K23" s="199">
        <f>+'Exhibit F'!L20</f>
        <v>60.800000000000182</v>
      </c>
      <c r="L23" s="199"/>
      <c r="M23" s="199">
        <f>+'Exhibit F'!N20</f>
        <v>104.19999999999982</v>
      </c>
      <c r="N23" s="199"/>
      <c r="O23" s="199">
        <f>+'Exhibit F'!P20</f>
        <v>672.70000000000027</v>
      </c>
      <c r="P23" s="66"/>
      <c r="Q23" s="199">
        <f>+'Exhibit F'!R20</f>
        <v>54.499999999999545</v>
      </c>
      <c r="R23" s="199"/>
      <c r="S23" s="199">
        <f>+'Exhibit F'!T20</f>
        <v>37.300000000000182</v>
      </c>
      <c r="T23" s="199"/>
      <c r="U23" s="199">
        <f>+'Exhibit F'!V20</f>
        <v>32.599999999999909</v>
      </c>
      <c r="V23" s="199"/>
      <c r="W23" s="199">
        <f>+'Exhibit F'!X20</f>
        <v>105.80000000000018</v>
      </c>
      <c r="X23" s="199"/>
      <c r="Y23" s="199"/>
      <c r="Z23" s="66"/>
      <c r="AA23" s="401"/>
      <c r="AB23" s="199">
        <f>ROUND(SUM(C23:Y23),1)</f>
        <v>3462.4</v>
      </c>
      <c r="AC23" s="66"/>
      <c r="AD23" s="879"/>
      <c r="AE23" s="199">
        <f>+'Exhibit F'!AF20</f>
        <v>3527</v>
      </c>
      <c r="AF23" s="66"/>
      <c r="AG23" s="1620"/>
      <c r="AH23" s="274">
        <f t="shared" si="1"/>
        <v>-64.599999999999994</v>
      </c>
      <c r="AI23" s="67"/>
      <c r="AJ23" s="293">
        <f t="shared" si="0"/>
        <v>-1.7999999999999999E-2</v>
      </c>
    </row>
    <row r="24" spans="1:36" ht="15.5">
      <c r="A24" s="431" t="s">
        <v>354</v>
      </c>
      <c r="B24" s="66"/>
      <c r="C24" s="199">
        <f>+'Exhibit F'!D21</f>
        <v>-480</v>
      </c>
      <c r="D24" s="199"/>
      <c r="E24" s="199">
        <f>+'Exhibit F'!F21</f>
        <v>-45.100000000000023</v>
      </c>
      <c r="F24" s="199"/>
      <c r="G24" s="199">
        <f>+'Exhibit F'!H21</f>
        <v>-37.799999999999955</v>
      </c>
      <c r="H24" s="199"/>
      <c r="I24" s="199">
        <f>+'Exhibit F'!J21</f>
        <v>-38</v>
      </c>
      <c r="J24" s="199"/>
      <c r="K24" s="199">
        <f>+'Exhibit F'!L21</f>
        <v>-43</v>
      </c>
      <c r="L24" s="199"/>
      <c r="M24" s="199">
        <f>+'Exhibit F'!N21</f>
        <v>-89.600000000000023</v>
      </c>
      <c r="N24" s="199"/>
      <c r="O24" s="199">
        <f>+'Exhibit F'!P21</f>
        <v>-425.40000000000009</v>
      </c>
      <c r="P24" s="66"/>
      <c r="Q24" s="199">
        <f>+'Exhibit F'!R21</f>
        <v>-64.099999999999909</v>
      </c>
      <c r="R24" s="199"/>
      <c r="S24" s="199">
        <f>+'Exhibit F'!T21</f>
        <v>-0.90000000000009095</v>
      </c>
      <c r="T24" s="199"/>
      <c r="U24" s="199">
        <f>+'Exhibit F'!V21</f>
        <v>-8.5999999999999091</v>
      </c>
      <c r="V24" s="199"/>
      <c r="W24" s="199">
        <f>+'Exhibit F'!X21</f>
        <v>-54.400000000000091</v>
      </c>
      <c r="X24" s="199"/>
      <c r="Y24" s="199"/>
      <c r="Z24" s="66"/>
      <c r="AA24" s="401"/>
      <c r="AB24" s="199">
        <f>ROUND(SUM(C24:Y24),1)</f>
        <v>-1286.9000000000001</v>
      </c>
      <c r="AC24" s="66"/>
      <c r="AD24" s="879"/>
      <c r="AE24" s="199">
        <f>+'Exhibit F'!AF21</f>
        <v>-1156.7</v>
      </c>
      <c r="AF24" s="66"/>
      <c r="AG24" s="1620"/>
      <c r="AH24" s="274">
        <f>-ROUND(SUM(+AB24-AE24),1)</f>
        <v>130.19999999999999</v>
      </c>
      <c r="AI24" s="67"/>
      <c r="AJ24" s="293">
        <f t="shared" si="0"/>
        <v>0.113</v>
      </c>
    </row>
    <row r="25" spans="1:36" ht="15.5">
      <c r="A25" s="431" t="s">
        <v>355</v>
      </c>
      <c r="B25" s="66"/>
      <c r="C25" s="199">
        <f>+'Exhibit F'!D22</f>
        <v>231.9</v>
      </c>
      <c r="D25" s="199"/>
      <c r="E25" s="199">
        <f>+'Exhibit F'!F22</f>
        <v>135.9</v>
      </c>
      <c r="F25" s="199"/>
      <c r="G25" s="199">
        <f>+'Exhibit F'!H22</f>
        <v>117.19999999999999</v>
      </c>
      <c r="H25" s="199"/>
      <c r="I25" s="199">
        <f>+'Exhibit F'!J22</f>
        <v>132.9</v>
      </c>
      <c r="J25" s="199"/>
      <c r="K25" s="199">
        <f>+'Exhibit F'!L22</f>
        <v>110.20000000000007</v>
      </c>
      <c r="L25" s="199"/>
      <c r="M25" s="199">
        <f>+'Exhibit F'!N22</f>
        <v>105</v>
      </c>
      <c r="N25" s="199"/>
      <c r="O25" s="199">
        <f>+'Exhibit F'!P22</f>
        <v>150.39999999999998</v>
      </c>
      <c r="P25" s="66"/>
      <c r="Q25" s="199">
        <f>+'Exhibit F'!R22</f>
        <v>190</v>
      </c>
      <c r="R25" s="199"/>
      <c r="S25" s="199">
        <f>+'Exhibit F'!T22</f>
        <v>166.29999999999995</v>
      </c>
      <c r="T25" s="199"/>
      <c r="U25" s="199">
        <f>+'Exhibit F'!V22</f>
        <v>141.20000000000005</v>
      </c>
      <c r="V25" s="199"/>
      <c r="W25" s="199">
        <f>+'Exhibit F'!X22</f>
        <v>160.40000000000009</v>
      </c>
      <c r="X25" s="199"/>
      <c r="Y25" s="199"/>
      <c r="Z25" s="66"/>
      <c r="AA25" s="401"/>
      <c r="AB25" s="199">
        <f t="shared" ref="AB25:AB29" si="2">ROUND(SUM(C25:Y25),1)</f>
        <v>1641.4</v>
      </c>
      <c r="AC25" s="66"/>
      <c r="AD25" s="879"/>
      <c r="AE25" s="199">
        <f>+'Exhibit F'!AF22</f>
        <v>1563.3</v>
      </c>
      <c r="AF25" s="66"/>
      <c r="AG25" s="1620"/>
      <c r="AH25" s="274">
        <f t="shared" si="1"/>
        <v>78.099999999999994</v>
      </c>
      <c r="AI25" s="67"/>
      <c r="AJ25" s="293">
        <f t="shared" si="0"/>
        <v>0.05</v>
      </c>
    </row>
    <row r="26" spans="1:36" ht="15.5">
      <c r="A26" s="295" t="s">
        <v>356</v>
      </c>
      <c r="B26" s="66"/>
      <c r="C26" s="72">
        <f>ROUND(SUM(C21:C25),1)</f>
        <v>11550.6</v>
      </c>
      <c r="D26" s="66"/>
      <c r="E26" s="72">
        <f>ROUND(SUM(E21:E25),1)</f>
        <v>4842.8999999999996</v>
      </c>
      <c r="F26" s="66"/>
      <c r="G26" s="72">
        <f>ROUND(SUM(G21:G25),1)</f>
        <v>5536.2</v>
      </c>
      <c r="H26" s="66"/>
      <c r="I26" s="72">
        <f>ROUND(SUM(I21:I25),1)</f>
        <v>4589.7</v>
      </c>
      <c r="J26" s="66"/>
      <c r="K26" s="72">
        <f>ROUND(SUM(K21:K25),1)</f>
        <v>4192.8</v>
      </c>
      <c r="L26" s="66"/>
      <c r="M26" s="72">
        <f>ROUND(SUM(M21:M25),1)</f>
        <v>5736.8</v>
      </c>
      <c r="N26" s="66"/>
      <c r="O26" s="72">
        <f>ROUND(SUM(O21:O25),1)</f>
        <v>4810.5</v>
      </c>
      <c r="P26" s="66"/>
      <c r="Q26" s="72">
        <f>ROUND(SUM(Q21:Q25),1)</f>
        <v>4451.8999999999996</v>
      </c>
      <c r="R26" s="66"/>
      <c r="S26" s="72">
        <f>ROUND(SUM(S21:S25),1)</f>
        <v>6103.8</v>
      </c>
      <c r="T26" s="66"/>
      <c r="U26" s="72">
        <f>ROUND(SUM(U21:U25),1)</f>
        <v>9469.4</v>
      </c>
      <c r="V26" s="66"/>
      <c r="W26" s="72">
        <f>ROUND(SUM(W21:W25),1)</f>
        <v>7713.1</v>
      </c>
      <c r="X26" s="66"/>
      <c r="Y26" s="72">
        <f>ROUND(SUM(Y21:Y25),1)</f>
        <v>0</v>
      </c>
      <c r="Z26" s="66"/>
      <c r="AA26" s="401"/>
      <c r="AB26" s="72">
        <f>ROUND(SUM(AB21:AB25),1)</f>
        <v>68997.7</v>
      </c>
      <c r="AC26" s="66"/>
      <c r="AD26" s="879"/>
      <c r="AE26" s="72">
        <f>ROUND(SUM(AE21:AE25),1)</f>
        <v>63222</v>
      </c>
      <c r="AF26" s="66"/>
      <c r="AG26" s="1620"/>
      <c r="AH26" s="72">
        <f t="shared" si="1"/>
        <v>5775.7</v>
      </c>
      <c r="AI26" s="67"/>
      <c r="AJ26" s="427">
        <f>ROUND(SUM(+AH26/ABS(AE26)),3)</f>
        <v>9.0999999999999998E-2</v>
      </c>
    </row>
    <row r="27" spans="1:36" ht="15.5">
      <c r="A27" s="431" t="s">
        <v>357</v>
      </c>
      <c r="B27" s="66"/>
      <c r="C27" s="199">
        <f>+'Exhibit F'!D24+'Exhibit G State'!D17</f>
        <v>0</v>
      </c>
      <c r="D27" s="199"/>
      <c r="E27" s="199">
        <f>+'Exhibit F'!F24+'Exhibit G State'!F17</f>
        <v>0</v>
      </c>
      <c r="F27" s="199"/>
      <c r="G27" s="199">
        <f>+'Exhibit F'!H24+'Exhibit G State'!H17</f>
        <v>0</v>
      </c>
      <c r="H27" s="66"/>
      <c r="I27" s="199">
        <f>+'Exhibit F'!J24+'Exhibit G State'!J17</f>
        <v>0</v>
      </c>
      <c r="J27" s="66"/>
      <c r="K27" s="199">
        <f>+'Exhibit F'!L24+'Exhibit G State'!L17</f>
        <v>0</v>
      </c>
      <c r="L27" s="66"/>
      <c r="M27" s="199">
        <f>+'Exhibit F'!N24+'Exhibit G State'!N17</f>
        <v>0</v>
      </c>
      <c r="N27" s="66"/>
      <c r="O27" s="199">
        <f>+'Exhibit F'!P24+'Exhibit G State'!P17</f>
        <v>0</v>
      </c>
      <c r="P27" s="66"/>
      <c r="Q27" s="199">
        <f>+'Exhibit F'!R24+'Exhibit G State'!R17</f>
        <v>0</v>
      </c>
      <c r="R27" s="199"/>
      <c r="S27" s="199">
        <f>+'Exhibit F'!T24+'Exhibit G State'!T17</f>
        <v>0</v>
      </c>
      <c r="T27" s="199"/>
      <c r="U27" s="199">
        <f>+'Exhibit F'!V24+'Exhibit G State'!V17</f>
        <v>0</v>
      </c>
      <c r="V27" s="199"/>
      <c r="W27" s="199">
        <f>+'Exhibit F'!X24+'Exhibit G State'!X17</f>
        <v>0</v>
      </c>
      <c r="X27" s="199"/>
      <c r="Y27" s="199"/>
      <c r="Z27" s="66"/>
      <c r="AA27" s="401"/>
      <c r="AB27" s="199">
        <f>ROUND(SUM(C27:Y27),1)</f>
        <v>0</v>
      </c>
      <c r="AC27" s="66"/>
      <c r="AD27" s="879"/>
      <c r="AE27" s="199">
        <f>+'Exhibit F'!AF24+'Exhibit G State'!AF17</f>
        <v>0</v>
      </c>
      <c r="AF27" s="66"/>
      <c r="AG27" s="1620"/>
      <c r="AH27" s="274">
        <f t="shared" si="1"/>
        <v>0</v>
      </c>
      <c r="AI27" s="67"/>
      <c r="AJ27" s="276">
        <f>ROUND(IF(AE27=0,0,AH27/ABS(AE27)),3)</f>
        <v>0</v>
      </c>
    </row>
    <row r="28" spans="1:36" ht="15.5">
      <c r="A28" s="431" t="s">
        <v>358</v>
      </c>
      <c r="B28" s="66"/>
      <c r="C28" s="199">
        <f>+'Exhibit F'!D25+'Exhibit H'!B17</f>
        <v>0</v>
      </c>
      <c r="D28" s="199"/>
      <c r="E28" s="199">
        <f>+'Exhibit F'!F25+'Exhibit H'!D17</f>
        <v>0</v>
      </c>
      <c r="F28" s="199"/>
      <c r="G28" s="199">
        <f>+'Exhibit F'!H25+'Exhibit H'!F17</f>
        <v>0</v>
      </c>
      <c r="H28" s="66"/>
      <c r="I28" s="199">
        <f>+'Exhibit F'!J25+'Exhibit H'!H17</f>
        <v>0</v>
      </c>
      <c r="J28" s="66"/>
      <c r="K28" s="199">
        <f>+'Exhibit F'!L25+'Exhibit H'!J17</f>
        <v>0</v>
      </c>
      <c r="L28" s="66"/>
      <c r="M28" s="199">
        <f>+'Exhibit F'!N25+'Exhibit H'!L17</f>
        <v>0</v>
      </c>
      <c r="N28" s="66"/>
      <c r="O28" s="199">
        <f>+'Exhibit F'!P25+'Exhibit H'!N17</f>
        <v>0</v>
      </c>
      <c r="P28" s="66"/>
      <c r="Q28" s="199">
        <f>+'Exhibit F'!R25+'Exhibit H'!P17</f>
        <v>0</v>
      </c>
      <c r="R28" s="199"/>
      <c r="S28" s="199">
        <f>+'Exhibit F'!T25+'Exhibit H'!R17</f>
        <v>0</v>
      </c>
      <c r="T28" s="199"/>
      <c r="U28" s="199">
        <f>+'Exhibit F'!V25+'Exhibit H'!T17</f>
        <v>0</v>
      </c>
      <c r="V28" s="199"/>
      <c r="W28" s="199">
        <f>+'Exhibit F'!X25+'Exhibit H'!V17</f>
        <v>0</v>
      </c>
      <c r="X28" s="199"/>
      <c r="Y28" s="199"/>
      <c r="Z28" s="66"/>
      <c r="AA28" s="401"/>
      <c r="AB28" s="199">
        <f t="shared" si="2"/>
        <v>0</v>
      </c>
      <c r="AC28" s="66"/>
      <c r="AD28" s="879"/>
      <c r="AE28" s="199">
        <f>+'Exhibit F'!AF25+'Exhibit H'!AD17</f>
        <v>0</v>
      </c>
      <c r="AF28" s="66"/>
      <c r="AG28" s="1620"/>
      <c r="AH28" s="274">
        <f t="shared" si="1"/>
        <v>0</v>
      </c>
      <c r="AI28" s="67"/>
      <c r="AJ28" s="276">
        <f>ROUND(IF(AE28=0,0,AH28/ABS(AE28)),3)</f>
        <v>0</v>
      </c>
    </row>
    <row r="29" spans="1:36" ht="15.5">
      <c r="A29" s="294" t="s">
        <v>359</v>
      </c>
      <c r="B29" s="199"/>
      <c r="C29" s="199">
        <f>+'Exhibit F'!D26</f>
        <v>-4251.2</v>
      </c>
      <c r="D29" s="199"/>
      <c r="E29" s="199">
        <f>+'Exhibit F'!F26</f>
        <v>-989.69999999999982</v>
      </c>
      <c r="F29" s="199"/>
      <c r="G29" s="199">
        <f>+'Exhibit F'!H26</f>
        <v>-432</v>
      </c>
      <c r="H29" s="199"/>
      <c r="I29" s="199">
        <f>+'Exhibit F'!J26</f>
        <v>-407.20000000000073</v>
      </c>
      <c r="J29" s="199"/>
      <c r="K29" s="199">
        <f>+'Exhibit F'!L26</f>
        <v>-680.89999999999964</v>
      </c>
      <c r="L29" s="66"/>
      <c r="M29" s="199">
        <f>+'Exhibit F'!N26</f>
        <v>-761.19999999999982</v>
      </c>
      <c r="N29" s="66"/>
      <c r="O29" s="199">
        <f>+'Exhibit F'!P26</f>
        <v>-2068.6999999999998</v>
      </c>
      <c r="P29" s="66"/>
      <c r="Q29" s="199">
        <f>+'Exhibit F'!R26</f>
        <v>-791.30000000000109</v>
      </c>
      <c r="R29" s="199"/>
      <c r="S29" s="199">
        <f>+'Exhibit F'!T26</f>
        <v>-708.69999999999891</v>
      </c>
      <c r="T29" s="199"/>
      <c r="U29" s="199">
        <f>+'Exhibit F'!V26</f>
        <v>-351</v>
      </c>
      <c r="V29" s="199"/>
      <c r="W29" s="199">
        <f>+'Exhibit F'!X26</f>
        <v>-1484.3999999999996</v>
      </c>
      <c r="X29" s="199"/>
      <c r="Y29" s="199"/>
      <c r="Z29" s="66"/>
      <c r="AA29" s="401"/>
      <c r="AB29" s="199">
        <f t="shared" si="2"/>
        <v>-12926.3</v>
      </c>
      <c r="AC29" s="66"/>
      <c r="AD29" s="879"/>
      <c r="AE29" s="199">
        <f>+'Exhibit F'!AF26</f>
        <v>-13707.2</v>
      </c>
      <c r="AF29" s="66"/>
      <c r="AG29" s="1620"/>
      <c r="AH29" s="274">
        <f>-ROUND(SUM(+AB29-AE29),1)</f>
        <v>-780.9</v>
      </c>
      <c r="AI29" s="67"/>
      <c r="AJ29" s="293">
        <f>ROUND(SUM(+AH29/ABS(AE29)),3)</f>
        <v>-5.7000000000000002E-2</v>
      </c>
    </row>
    <row r="30" spans="1:36" ht="15.5">
      <c r="A30" s="88" t="s">
        <v>360</v>
      </c>
      <c r="B30" s="66"/>
      <c r="C30" s="72">
        <f>ROUND(SUM(C26+C27+C28+C29),1)</f>
        <v>7299.4</v>
      </c>
      <c r="D30" s="66"/>
      <c r="E30" s="72">
        <f>ROUND(SUM(E26+E27+E28+E29),1)</f>
        <v>3853.2</v>
      </c>
      <c r="F30" s="66"/>
      <c r="G30" s="72">
        <f>ROUND(SUM(G26+G27+G28+G29),1)</f>
        <v>5104.2</v>
      </c>
      <c r="H30" s="66"/>
      <c r="I30" s="72">
        <f>ROUND(SUM(I26+I27+I28+I29),1)</f>
        <v>4182.5</v>
      </c>
      <c r="J30" s="66"/>
      <c r="K30" s="72">
        <f>ROUND(SUM(K26+K27+K28+K29),1)</f>
        <v>3511.9</v>
      </c>
      <c r="L30" s="66"/>
      <c r="M30" s="72">
        <f>ROUND(SUM(M26+M27+M28+M29),1)</f>
        <v>4975.6000000000004</v>
      </c>
      <c r="N30" s="66"/>
      <c r="O30" s="72">
        <f>ROUND(SUM(O26+O27+O28+O29),1)</f>
        <v>2741.8</v>
      </c>
      <c r="P30" s="66"/>
      <c r="Q30" s="72">
        <f>ROUND(SUM(Q26+Q27+Q28+Q29),1)</f>
        <v>3660.6</v>
      </c>
      <c r="R30" s="66"/>
      <c r="S30" s="72">
        <f>ROUND(SUM(S26+S27+S28+S29),1)</f>
        <v>5395.1</v>
      </c>
      <c r="T30" s="66"/>
      <c r="U30" s="72">
        <f>ROUND(SUM(U26+U27+U28+U29),1)</f>
        <v>9118.4</v>
      </c>
      <c r="V30" s="66"/>
      <c r="W30" s="72">
        <f>ROUND(SUM(W26+W27+W28+W29),1)</f>
        <v>6228.7</v>
      </c>
      <c r="X30" s="66"/>
      <c r="Y30" s="72">
        <f>ROUND(SUM(Y26+Y27+Y28+Y29),1)</f>
        <v>0</v>
      </c>
      <c r="Z30" s="66"/>
      <c r="AA30" s="401"/>
      <c r="AB30" s="72">
        <f>ROUND(SUM(AB26+AB27+AB28+AB29),1)</f>
        <v>56071.4</v>
      </c>
      <c r="AC30" s="66"/>
      <c r="AD30" s="879"/>
      <c r="AE30" s="72">
        <f>ROUND(SUM(AE26+AE27+AE28+AE29),1)</f>
        <v>49514.8</v>
      </c>
      <c r="AF30" s="66"/>
      <c r="AG30" s="1620"/>
      <c r="AH30" s="72">
        <f>ROUND(SUM(AH26+AH27+AH28-AH29),1)</f>
        <v>6556.6</v>
      </c>
      <c r="AI30" s="331"/>
      <c r="AJ30" s="427">
        <f>ROUND(SUM(+AH30/ABS(AE30)),3)</f>
        <v>0.13200000000000001</v>
      </c>
    </row>
    <row r="31" spans="1:36" ht="15.5">
      <c r="A31" s="423" t="s">
        <v>361</v>
      </c>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401"/>
      <c r="AB31" s="66"/>
      <c r="AC31" s="66"/>
      <c r="AD31" s="879"/>
      <c r="AE31" s="199"/>
      <c r="AF31" s="66"/>
      <c r="AG31" s="1620"/>
      <c r="AH31" s="278"/>
      <c r="AI31" s="66"/>
      <c r="AJ31" s="278"/>
    </row>
    <row r="32" spans="1:36" ht="15.5">
      <c r="A32" s="294" t="s">
        <v>362</v>
      </c>
      <c r="B32" s="66"/>
      <c r="C32" s="199">
        <f>+'Exhibit F'!D29+'Exhibit H'!B20+'Exhibit G State'!D20</f>
        <v>1560.8</v>
      </c>
      <c r="D32" s="199"/>
      <c r="E32" s="199">
        <f>+'Exhibit F'!F29+'Exhibit H'!D20+'Exhibit G State'!F20</f>
        <v>1542.8999999999999</v>
      </c>
      <c r="F32" s="199"/>
      <c r="G32" s="199">
        <f>+'Exhibit F'!H29+'Exhibit H'!F20+'Exhibit G State'!H20</f>
        <v>1972.0000000000005</v>
      </c>
      <c r="H32" s="199"/>
      <c r="I32" s="199">
        <f>+'Exhibit F'!J29+'Exhibit H'!H20+'Exhibit G State'!J20</f>
        <v>1591.4999999999998</v>
      </c>
      <c r="J32" s="199"/>
      <c r="K32" s="199">
        <f>+'Exhibit F'!L29+'Exhibit H'!J20+'Exhibit G State'!L20</f>
        <v>1602.6000000000006</v>
      </c>
      <c r="L32" s="66"/>
      <c r="M32" s="199">
        <f>+'Exhibit F'!N29+'Exhibit H'!L20+'Exhibit G State'!N20</f>
        <v>1971.7999999999993</v>
      </c>
      <c r="N32" s="66"/>
      <c r="O32" s="199">
        <f>+'Exhibit F'!P29+'Exhibit H'!N20+'Exhibit G State'!P20</f>
        <v>1601.7000000000003</v>
      </c>
      <c r="P32" s="66"/>
      <c r="Q32" s="199">
        <f>+'Exhibit F'!R29+'Exhibit H'!P20+'Exhibit G State'!R20</f>
        <v>1608.7000000000003</v>
      </c>
      <c r="R32" s="199"/>
      <c r="S32" s="199">
        <f>+'Exhibit F'!T29+'Exhibit H'!R20+'Exhibit G State'!T20</f>
        <v>1963.4</v>
      </c>
      <c r="T32" s="199"/>
      <c r="U32" s="199">
        <f>+'Exhibit F'!V29+'Exhibit H'!T20+'Exhibit G State'!V20</f>
        <v>1747.0999999999997</v>
      </c>
      <c r="V32" s="199"/>
      <c r="W32" s="199">
        <f>+'Exhibit F'!X29+'Exhibit H'!V20+'Exhibit G State'!X20</f>
        <v>1469.0999999999997</v>
      </c>
      <c r="X32" s="199"/>
      <c r="Y32" s="199"/>
      <c r="Z32" s="66"/>
      <c r="AA32" s="401"/>
      <c r="AB32" s="199">
        <f t="shared" ref="AB32:AB39" si="3">ROUND(SUM(C32:Y32),1)</f>
        <v>18631.599999999999</v>
      </c>
      <c r="AC32" s="66"/>
      <c r="AD32" s="879"/>
      <c r="AE32" s="199">
        <f>+'Exhibit F'!AF29+'Exhibit H'!AD20+'Exhibit G State'!AF20</f>
        <v>18159.2</v>
      </c>
      <c r="AF32" s="66"/>
      <c r="AG32" s="1620"/>
      <c r="AH32" s="274">
        <f t="shared" ref="AH32:AH39" si="4">ROUND(SUM(+AB32-AE32),1)</f>
        <v>472.4</v>
      </c>
      <c r="AI32" s="67"/>
      <c r="AJ32" s="293">
        <f>ROUND(SUM(+AH32/ABS(AE32)),3)</f>
        <v>2.5999999999999999E-2</v>
      </c>
    </row>
    <row r="33" spans="1:36" ht="15.5">
      <c r="A33" s="294" t="s">
        <v>363</v>
      </c>
      <c r="B33" s="66"/>
      <c r="C33" s="199">
        <f>+'Exhibit F'!D30+'Exhibit G State'!D21</f>
        <v>2.1</v>
      </c>
      <c r="D33" s="199"/>
      <c r="E33" s="199">
        <f>+'Exhibit F'!F30+'Exhibit G State'!F21</f>
        <v>0.10000000000000009</v>
      </c>
      <c r="F33" s="199"/>
      <c r="G33" s="199">
        <f>+'Exhibit F'!H30+'Exhibit G State'!H21</f>
        <v>7.8000000000000007</v>
      </c>
      <c r="H33" s="199"/>
      <c r="I33" s="199">
        <f>+'Exhibit F'!J30+'Exhibit G State'!J21</f>
        <v>0</v>
      </c>
      <c r="J33" s="199"/>
      <c r="K33" s="199">
        <f>+'Exhibit F'!L30+'Exhibit G State'!L21</f>
        <v>0</v>
      </c>
      <c r="L33" s="66"/>
      <c r="M33" s="199">
        <f>+'Exhibit F'!N30+'Exhibit G State'!N21</f>
        <v>10.599999999999998</v>
      </c>
      <c r="N33" s="66"/>
      <c r="O33" s="199">
        <f>+'Exhibit F'!P30+'Exhibit G State'!P21</f>
        <v>0</v>
      </c>
      <c r="P33" s="66"/>
      <c r="Q33" s="199">
        <f>+'Exhibit F'!R30+'Exhibit G State'!R21</f>
        <v>0</v>
      </c>
      <c r="R33" s="199"/>
      <c r="S33" s="199">
        <f>+'Exhibit F'!T30+'Exhibit G State'!T21</f>
        <v>10.000000000000004</v>
      </c>
      <c r="T33" s="199"/>
      <c r="U33" s="199">
        <f>+'Exhibit F'!V30+'Exhibit G State'!V21</f>
        <v>0</v>
      </c>
      <c r="V33" s="199"/>
      <c r="W33" s="199">
        <f>+'Exhibit F'!X30+'Exhibit G State'!X21</f>
        <v>9.9999999999997868E-2</v>
      </c>
      <c r="X33" s="199"/>
      <c r="Y33" s="199"/>
      <c r="Z33" s="66"/>
      <c r="AA33" s="401"/>
      <c r="AB33" s="199">
        <f t="shared" si="3"/>
        <v>30.7</v>
      </c>
      <c r="AC33" s="66"/>
      <c r="AD33" s="879"/>
      <c r="AE33" s="199">
        <f>+'Exhibit F'!AF30+'Exhibit G State'!AF21</f>
        <v>27</v>
      </c>
      <c r="AF33" s="66"/>
      <c r="AG33" s="1620"/>
      <c r="AH33" s="274">
        <f t="shared" si="4"/>
        <v>3.7</v>
      </c>
      <c r="AI33" s="67"/>
      <c r="AJ33" s="553">
        <f>ROUND(IF(AE33=0,1,AH33/ABS(AE33)),3)</f>
        <v>0.13700000000000001</v>
      </c>
    </row>
    <row r="34" spans="1:36" ht="15.5">
      <c r="A34" s="294" t="s">
        <v>364</v>
      </c>
      <c r="B34" s="66"/>
      <c r="C34" s="199">
        <f>+'Exhibit F'!D31+'Exhibit G State'!D22</f>
        <v>87.6</v>
      </c>
      <c r="D34" s="199"/>
      <c r="E34" s="199">
        <f>+'Exhibit F'!F31+'Exhibit G State'!F22</f>
        <v>69.400000000000006</v>
      </c>
      <c r="F34" s="199"/>
      <c r="G34" s="199">
        <f>+'Exhibit F'!H31+'Exhibit G State'!H22</f>
        <v>61.699999999999974</v>
      </c>
      <c r="H34" s="199"/>
      <c r="I34" s="199">
        <f>+'Exhibit F'!J31+'Exhibit G State'!J22</f>
        <v>87.700000000000017</v>
      </c>
      <c r="J34" s="199"/>
      <c r="K34" s="199">
        <f>+'Exhibit F'!L31+'Exhibit G State'!L22</f>
        <v>73.300000000000011</v>
      </c>
      <c r="L34" s="66"/>
      <c r="M34" s="199">
        <f>+'Exhibit F'!N31+'Exhibit G State'!N22</f>
        <v>70.700000000000031</v>
      </c>
      <c r="N34" s="66"/>
      <c r="O34" s="199">
        <f>+'Exhibit F'!P31+'Exhibit G State'!P22</f>
        <v>72.499999999999943</v>
      </c>
      <c r="P34" s="66"/>
      <c r="Q34" s="199">
        <f>+'Exhibit F'!R31+'Exhibit G State'!R22</f>
        <v>59.099999999999994</v>
      </c>
      <c r="R34" s="199"/>
      <c r="S34" s="199">
        <f>+'Exhibit F'!T31+'Exhibit G State'!T22</f>
        <v>65.80000000000004</v>
      </c>
      <c r="T34" s="199"/>
      <c r="U34" s="199">
        <f>+'Exhibit F'!V31+'Exhibit G State'!V22</f>
        <v>68.799999999999983</v>
      </c>
      <c r="V34" s="199"/>
      <c r="W34" s="199">
        <f>+'Exhibit F'!X31+'Exhibit G State'!X22</f>
        <v>46.399999999999949</v>
      </c>
      <c r="X34" s="199"/>
      <c r="Y34" s="199"/>
      <c r="Z34" s="66"/>
      <c r="AA34" s="401"/>
      <c r="AB34" s="199">
        <f t="shared" si="3"/>
        <v>763</v>
      </c>
      <c r="AC34" s="66"/>
      <c r="AD34" s="879"/>
      <c r="AE34" s="199">
        <f>+'Exhibit F'!AF31+'Exhibit G State'!AF22</f>
        <v>801.40000000000009</v>
      </c>
      <c r="AF34" s="66"/>
      <c r="AG34" s="1620"/>
      <c r="AH34" s="274">
        <f t="shared" si="4"/>
        <v>-38.4</v>
      </c>
      <c r="AI34" s="67"/>
      <c r="AJ34" s="293">
        <f>ROUND(SUM(+AH34/ABS(AE34)),3)</f>
        <v>-4.8000000000000001E-2</v>
      </c>
    </row>
    <row r="35" spans="1:36" ht="15.5">
      <c r="A35" s="294" t="s">
        <v>444</v>
      </c>
      <c r="B35" s="66"/>
      <c r="C35" s="199">
        <f>'Exhibit G State'!D23</f>
        <v>2.7</v>
      </c>
      <c r="D35" s="199"/>
      <c r="E35" s="199">
        <f>'Exhibit G State'!F23</f>
        <v>1.4999999999999991</v>
      </c>
      <c r="F35" s="199"/>
      <c r="G35" s="199">
        <f>'Exhibit G State'!H23</f>
        <v>18.900000000000002</v>
      </c>
      <c r="H35" s="199"/>
      <c r="I35" s="199">
        <f>'Exhibit G State'!J23</f>
        <v>0.59999999999999787</v>
      </c>
      <c r="J35" s="199"/>
      <c r="K35" s="199">
        <f>'Exhibit G State'!L23</f>
        <v>1.3000000000000007</v>
      </c>
      <c r="L35" s="66"/>
      <c r="M35" s="199">
        <f>'Exhibit G State'!N23</f>
        <v>25.799999999999994</v>
      </c>
      <c r="N35" s="66"/>
      <c r="O35" s="199">
        <f>'Exhibit G State'!P23</f>
        <v>2.1000000000000014</v>
      </c>
      <c r="P35" s="66"/>
      <c r="Q35" s="199">
        <f>'Exhibit G State'!R23</f>
        <v>1.2000000000000028</v>
      </c>
      <c r="R35" s="199"/>
      <c r="S35" s="199">
        <f>'Exhibit G State'!T23</f>
        <v>31.800000000000004</v>
      </c>
      <c r="T35" s="199"/>
      <c r="U35" s="199">
        <f>'Exhibit G State'!V23</f>
        <v>2.1999999999999886</v>
      </c>
      <c r="V35" s="199"/>
      <c r="W35" s="199">
        <f>'Exhibit G State'!X23</f>
        <v>1.7000000000000028</v>
      </c>
      <c r="X35" s="199"/>
      <c r="Y35" s="199"/>
      <c r="Z35" s="66"/>
      <c r="AA35" s="401"/>
      <c r="AB35" s="199">
        <f t="shared" si="3"/>
        <v>89.8</v>
      </c>
      <c r="AC35" s="66"/>
      <c r="AD35" s="879"/>
      <c r="AE35" s="199">
        <f>'Exhibit G State'!AF23</f>
        <v>28.599999999999998</v>
      </c>
      <c r="AF35" s="66"/>
      <c r="AG35" s="1620"/>
      <c r="AH35" s="274">
        <f>ROUND(SUM(+AB35-AE35),1)</f>
        <v>61.2</v>
      </c>
      <c r="AI35" s="67"/>
      <c r="AJ35" s="276">
        <f>ROUND(IF(AE35=0,1,AH35/ABS(AE35)),3)</f>
        <v>2.14</v>
      </c>
    </row>
    <row r="36" spans="1:36" ht="15.5">
      <c r="A36" s="294" t="s">
        <v>366</v>
      </c>
      <c r="B36" s="66"/>
      <c r="C36" s="199">
        <f>+'Exhibit F'!D32+'Exhibit G State'!D24</f>
        <v>7.9</v>
      </c>
      <c r="D36" s="199"/>
      <c r="E36" s="199">
        <f>+'Exhibit F'!F32+'Exhibit G State'!F24</f>
        <v>8.1</v>
      </c>
      <c r="F36" s="199"/>
      <c r="G36" s="199">
        <f>+'Exhibit F'!H32+'Exhibit G State'!H24</f>
        <v>9.6000000000000032</v>
      </c>
      <c r="H36" s="199"/>
      <c r="I36" s="199">
        <f>+'Exhibit F'!J32+'Exhibit G State'!J24</f>
        <v>8.699999999999994</v>
      </c>
      <c r="J36" s="199"/>
      <c r="K36" s="199">
        <f>+'Exhibit F'!L32+'Exhibit G State'!L24</f>
        <v>9.800000000000006</v>
      </c>
      <c r="L36" s="66"/>
      <c r="M36" s="199">
        <f>+'Exhibit F'!N32+'Exhibit G State'!N24</f>
        <v>9.1</v>
      </c>
      <c r="N36" s="66"/>
      <c r="O36" s="199">
        <f>+'Exhibit F'!P32+'Exhibit G State'!P24</f>
        <v>8.6999999999999957</v>
      </c>
      <c r="P36" s="66"/>
      <c r="Q36" s="199">
        <f>+'Exhibit F'!R32+'Exhibit G State'!R24</f>
        <v>9.3000000000000043</v>
      </c>
      <c r="R36" s="199"/>
      <c r="S36" s="199">
        <f>+'Exhibit F'!T32+'Exhibit G State'!T24</f>
        <v>8.0999999999999943</v>
      </c>
      <c r="T36" s="199"/>
      <c r="U36" s="199">
        <f>+'Exhibit F'!V32+'Exhibit G State'!V24</f>
        <v>7.7000000000000028</v>
      </c>
      <c r="V36" s="199"/>
      <c r="W36" s="199">
        <f>+'Exhibit F'!X32+'Exhibit G State'!X24</f>
        <v>8.5</v>
      </c>
      <c r="X36" s="199"/>
      <c r="Y36" s="199"/>
      <c r="Z36" s="66"/>
      <c r="AA36" s="401"/>
      <c r="AB36" s="199">
        <f t="shared" si="3"/>
        <v>95.5</v>
      </c>
      <c r="AC36" s="66"/>
      <c r="AD36" s="879"/>
      <c r="AE36" s="199">
        <f>+'Exhibit F'!AF32+'Exhibit G State'!AF24</f>
        <v>95.8</v>
      </c>
      <c r="AF36" s="66"/>
      <c r="AG36" s="1620"/>
      <c r="AH36" s="274">
        <f t="shared" si="4"/>
        <v>-0.3</v>
      </c>
      <c r="AI36" s="67"/>
      <c r="AJ36" s="293">
        <f>ROUND(SUM(+AH36/ABS(AE36)),3)</f>
        <v>-3.0000000000000001E-3</v>
      </c>
    </row>
    <row r="37" spans="1:36" ht="15.5">
      <c r="A37" s="432" t="s">
        <v>367</v>
      </c>
      <c r="B37" s="66"/>
      <c r="C37" s="199">
        <f>+'Exhibit F'!D33+'Exhibit G State'!D25</f>
        <v>0</v>
      </c>
      <c r="D37" s="199"/>
      <c r="E37" s="199">
        <f>+'Exhibit F'!F33+'Exhibit G State'!F25</f>
        <v>0</v>
      </c>
      <c r="F37" s="199"/>
      <c r="G37" s="199">
        <f>+'Exhibit F'!H33+'Exhibit G State'!H25</f>
        <v>0.5</v>
      </c>
      <c r="H37" s="199"/>
      <c r="I37" s="199">
        <f>+'Exhibit F'!J33+'Exhibit G State'!J25</f>
        <v>0</v>
      </c>
      <c r="J37" s="199"/>
      <c r="K37" s="199">
        <f>+'Exhibit F'!L33+'Exhibit G State'!L25</f>
        <v>0</v>
      </c>
      <c r="L37" s="66"/>
      <c r="M37" s="199">
        <f>+'Exhibit F'!N33+'Exhibit G State'!N25</f>
        <v>0.6</v>
      </c>
      <c r="N37" s="66"/>
      <c r="O37" s="199">
        <f>+'Exhibit F'!P33+'Exhibit G State'!P25</f>
        <v>0</v>
      </c>
      <c r="P37" s="66"/>
      <c r="Q37" s="199">
        <f>+'Exhibit F'!R33+'Exhibit G State'!R25</f>
        <v>9.9999999999999978E-2</v>
      </c>
      <c r="R37" s="199"/>
      <c r="S37" s="199">
        <f>+'Exhibit F'!T33+'Exhibit G State'!T25</f>
        <v>0.30000000000000004</v>
      </c>
      <c r="T37" s="199"/>
      <c r="U37" s="199">
        <f>+'Exhibit F'!V33+'Exhibit G State'!V25</f>
        <v>0</v>
      </c>
      <c r="V37" s="199"/>
      <c r="W37" s="199">
        <f>+'Exhibit F'!X33+'Exhibit G State'!X25</f>
        <v>0</v>
      </c>
      <c r="X37" s="199"/>
      <c r="Y37" s="199"/>
      <c r="Z37" s="66"/>
      <c r="AA37" s="198"/>
      <c r="AB37" s="199">
        <f t="shared" si="3"/>
        <v>1.5</v>
      </c>
      <c r="AC37" s="66"/>
      <c r="AD37" s="879"/>
      <c r="AE37" s="199">
        <f>+'Exhibit F'!AF33+'Exhibit G State'!AF25</f>
        <v>0.30000000000000004</v>
      </c>
      <c r="AF37" s="66"/>
      <c r="AG37" s="1620"/>
      <c r="AH37" s="274">
        <f t="shared" si="4"/>
        <v>1.2</v>
      </c>
      <c r="AI37" s="67"/>
      <c r="AJ37" s="621">
        <f>ROUND(SUM(+AH37/ABS(AE37)),3)</f>
        <v>4</v>
      </c>
    </row>
    <row r="38" spans="1:36" ht="15.5">
      <c r="A38" s="294" t="s">
        <v>368</v>
      </c>
      <c r="B38" s="66"/>
      <c r="C38" s="199">
        <f>+'Exhibit F'!D34+'Exhibit G State'!D26</f>
        <v>19.100000000000001</v>
      </c>
      <c r="D38" s="199"/>
      <c r="E38" s="199">
        <f>+'Exhibit F'!F34+'Exhibit G State'!F26</f>
        <v>21.699999999999996</v>
      </c>
      <c r="F38" s="199"/>
      <c r="G38" s="199">
        <f>+'Exhibit F'!H34+'Exhibit G State'!H26</f>
        <v>24.5</v>
      </c>
      <c r="H38" s="199"/>
      <c r="I38" s="199">
        <f>+'Exhibit F'!J34+'Exhibit G State'!J26</f>
        <v>25.999999999999993</v>
      </c>
      <c r="J38" s="199"/>
      <c r="K38" s="199">
        <f>+'Exhibit F'!L34+'Exhibit G State'!L26</f>
        <v>23.800000000000018</v>
      </c>
      <c r="L38" s="66"/>
      <c r="M38" s="199">
        <f>+'Exhibit F'!N34+'Exhibit G State'!N26</f>
        <v>24.599999999999994</v>
      </c>
      <c r="N38" s="66"/>
      <c r="O38" s="199">
        <f>+'Exhibit F'!P34+'Exhibit G State'!P26</f>
        <v>20.5</v>
      </c>
      <c r="P38" s="66"/>
      <c r="Q38" s="199">
        <f>+'Exhibit F'!R34+'Exhibit G State'!R26</f>
        <v>24.400000000000006</v>
      </c>
      <c r="R38" s="199"/>
      <c r="S38" s="199">
        <f>+'Exhibit F'!T34+'Exhibit G State'!T26</f>
        <v>21.400000000000006</v>
      </c>
      <c r="T38" s="199"/>
      <c r="U38" s="199">
        <f>+'Exhibit F'!V34+'Exhibit G State'!V26</f>
        <v>30.400000000000006</v>
      </c>
      <c r="V38" s="199"/>
      <c r="W38" s="199">
        <f>+'Exhibit F'!X34+'Exhibit G State'!X26</f>
        <v>15.5</v>
      </c>
      <c r="X38" s="199"/>
      <c r="Y38" s="199"/>
      <c r="Z38" s="66"/>
      <c r="AA38" s="401"/>
      <c r="AB38" s="199">
        <f t="shared" si="3"/>
        <v>251.9</v>
      </c>
      <c r="AC38" s="66"/>
      <c r="AD38" s="879"/>
      <c r="AE38" s="199">
        <f>+'Exhibit F'!AF34+'Exhibit G State'!AF26</f>
        <v>254.70000000000002</v>
      </c>
      <c r="AF38" s="66"/>
      <c r="AG38" s="1620"/>
      <c r="AH38" s="274">
        <f t="shared" si="4"/>
        <v>-2.8</v>
      </c>
      <c r="AI38" s="67"/>
      <c r="AJ38" s="293">
        <f>ROUND(SUM(+AH38/ABS(AE38)),3)</f>
        <v>-1.0999999999999999E-2</v>
      </c>
    </row>
    <row r="39" spans="1:36" ht="15.5">
      <c r="A39" s="294" t="s">
        <v>369</v>
      </c>
      <c r="B39" s="66"/>
      <c r="C39" s="199">
        <f>+'Exhibit F'!D35+'Exhibit G State'!D27</f>
        <v>0</v>
      </c>
      <c r="D39" s="199"/>
      <c r="E39" s="199">
        <f>+'Exhibit F'!F35+'Exhibit G State'!F27</f>
        <v>0.1</v>
      </c>
      <c r="F39" s="199"/>
      <c r="G39" s="199">
        <f>+'Exhibit F'!H35+'Exhibit G State'!H27</f>
        <v>0</v>
      </c>
      <c r="H39" s="199"/>
      <c r="I39" s="199">
        <f>+'Exhibit F'!J35+'Exhibit G State'!J27</f>
        <v>0.1</v>
      </c>
      <c r="J39" s="199"/>
      <c r="K39" s="199">
        <f>+'Exhibit F'!L35+'Exhibit G State'!L27</f>
        <v>0</v>
      </c>
      <c r="L39" s="66"/>
      <c r="M39" s="199">
        <f>+'Exhibit F'!N35+'Exhibit G State'!N27</f>
        <v>9.9999999999999978E-2</v>
      </c>
      <c r="N39" s="66"/>
      <c r="O39" s="199">
        <f>+'Exhibit F'!P35+'Exhibit G State'!P27</f>
        <v>0.2</v>
      </c>
      <c r="P39" s="66"/>
      <c r="Q39" s="199">
        <f>+'Exhibit F'!R35+'Exhibit G State'!R27</f>
        <v>0.7</v>
      </c>
      <c r="R39" s="199"/>
      <c r="S39" s="199">
        <f>+'Exhibit F'!T35+'Exhibit G State'!T27</f>
        <v>0.40000000000000013</v>
      </c>
      <c r="T39" s="199"/>
      <c r="U39" s="199">
        <f>+'Exhibit F'!V35+'Exhibit G State'!V27</f>
        <v>0.19999999999999996</v>
      </c>
      <c r="V39" s="199"/>
      <c r="W39" s="199">
        <f>+'Exhibit F'!X35+'Exhibit G State'!X27</f>
        <v>9.9999999999999867E-2</v>
      </c>
      <c r="X39" s="199"/>
      <c r="Y39" s="199"/>
      <c r="Z39" s="66"/>
      <c r="AA39" s="401"/>
      <c r="AB39" s="199">
        <f t="shared" si="3"/>
        <v>1.9</v>
      </c>
      <c r="AC39" s="66"/>
      <c r="AD39" s="879"/>
      <c r="AE39" s="199">
        <f>+'Exhibit F'!AF35+'Exhibit G State'!AF27</f>
        <v>0.5</v>
      </c>
      <c r="AF39" s="66"/>
      <c r="AG39" s="1620"/>
      <c r="AH39" s="274">
        <f t="shared" si="4"/>
        <v>1.4</v>
      </c>
      <c r="AI39" s="67"/>
      <c r="AJ39" s="553">
        <f>ROUND(IF(AE39=0,1,AH39/ABS(AE39)),3)</f>
        <v>2.8</v>
      </c>
    </row>
    <row r="40" spans="1:36" ht="15.5">
      <c r="A40" s="294" t="s">
        <v>445</v>
      </c>
      <c r="B40" s="66"/>
      <c r="C40" s="199">
        <f>'Exhibit F'!D36+'Exhibit G'!D28</f>
        <v>-0.1</v>
      </c>
      <c r="D40" s="199"/>
      <c r="E40" s="199">
        <f>'Exhibit F'!F36+'Exhibit G'!F28</f>
        <v>0.6</v>
      </c>
      <c r="F40" s="199"/>
      <c r="G40" s="199">
        <f>'Exhibit F'!H36+'Exhibit G'!H28</f>
        <v>4.5999999999999996</v>
      </c>
      <c r="H40" s="199"/>
      <c r="I40" s="199">
        <f>'Exhibit F'!J36+'Exhibit G'!J28</f>
        <v>0.10000000000000053</v>
      </c>
      <c r="J40" s="199"/>
      <c r="K40" s="199">
        <f>'Exhibit F'!L36+'Exhibit G'!L28</f>
        <v>0.70000000000000018</v>
      </c>
      <c r="L40" s="66"/>
      <c r="M40" s="199">
        <f>'Exhibit F'!N36+'Exhibit G'!N28</f>
        <v>5.2999999999999989</v>
      </c>
      <c r="N40" s="66"/>
      <c r="O40" s="199">
        <f>'Exhibit F'!P36+'Exhibit G'!P28</f>
        <v>-0.39999999999999858</v>
      </c>
      <c r="P40" s="66"/>
      <c r="Q40" s="199">
        <f>'Exhibit F'!R36+'Exhibit G'!R28</f>
        <v>9.9999999999999645E-2</v>
      </c>
      <c r="R40" s="199"/>
      <c r="S40" s="199">
        <f>'Exhibit F'!T36+'Exhibit G'!T28</f>
        <v>4.9000000000000004</v>
      </c>
      <c r="T40" s="199"/>
      <c r="U40" s="199">
        <f>'Exhibit F'!V36+'Exhibit G'!V28</f>
        <v>9.9999999999999645E-2</v>
      </c>
      <c r="V40" s="199"/>
      <c r="W40" s="199">
        <f>'Exhibit F'!X36+'Exhibit G'!X28</f>
        <v>0.70000000000000107</v>
      </c>
      <c r="X40" s="199"/>
      <c r="Y40" s="199"/>
      <c r="Z40" s="66"/>
      <c r="AA40" s="401"/>
      <c r="AB40" s="199">
        <f>ROUND(SUM(C40:Y40),1)</f>
        <v>16.600000000000001</v>
      </c>
      <c r="AC40" s="66"/>
      <c r="AD40" s="879"/>
      <c r="AE40" s="199">
        <f>+'Exhibit F'!AF36+'Exhibit G State'!AF28</f>
        <v>19</v>
      </c>
      <c r="AF40" s="66"/>
      <c r="AG40" s="1620"/>
      <c r="AH40" s="274">
        <f>ROUND(SUM(+AB40-AE40),1)</f>
        <v>-2.4</v>
      </c>
      <c r="AI40" s="67"/>
      <c r="AJ40" s="553">
        <f>ROUND(IF(AE40=0,1,AH40/ABS(AE40)),3)</f>
        <v>-0.126</v>
      </c>
    </row>
    <row r="41" spans="1:36" ht="15.5">
      <c r="A41" s="294" t="s">
        <v>371</v>
      </c>
      <c r="B41" s="66"/>
      <c r="C41" s="199">
        <f>'Exhibit F'!D37</f>
        <v>5.3000000000000007</v>
      </c>
      <c r="D41" s="199"/>
      <c r="E41" s="199">
        <f>'Exhibit F'!F37</f>
        <v>0.19999999999999929</v>
      </c>
      <c r="F41" s="199"/>
      <c r="G41" s="199">
        <f>'Exhibit F'!H37</f>
        <v>0</v>
      </c>
      <c r="H41" s="199"/>
      <c r="I41" s="199">
        <f>'Exhibit F'!J37</f>
        <v>5</v>
      </c>
      <c r="J41" s="199"/>
      <c r="K41" s="199">
        <f>'Exhibit F'!L37</f>
        <v>0</v>
      </c>
      <c r="L41" s="66"/>
      <c r="M41" s="199">
        <f>'Exhibit F'!N37</f>
        <v>9.9999999999999645E-2</v>
      </c>
      <c r="N41" s="66"/>
      <c r="O41" s="199">
        <f>'Exhibit F'!P37</f>
        <v>4.5</v>
      </c>
      <c r="P41" s="66"/>
      <c r="Q41" s="199">
        <f>'Exhibit F'!R37</f>
        <v>0.5</v>
      </c>
      <c r="R41" s="199"/>
      <c r="S41" s="199">
        <f>'Exhibit F'!T37</f>
        <v>0</v>
      </c>
      <c r="T41" s="199"/>
      <c r="U41" s="199">
        <f>'Exhibit F'!V37</f>
        <v>4.7000000000000011</v>
      </c>
      <c r="V41" s="199"/>
      <c r="W41" s="199">
        <f>'Exhibit F'!X37</f>
        <v>0.19999999999999929</v>
      </c>
      <c r="X41" s="199"/>
      <c r="Y41" s="199"/>
      <c r="Z41" s="66"/>
      <c r="AA41" s="401"/>
      <c r="AB41" s="199">
        <f t="shared" ref="AB41" si="5">ROUND(SUM(C41:Y41),1)</f>
        <v>20.5</v>
      </c>
      <c r="AC41" s="66"/>
      <c r="AD41" s="879"/>
      <c r="AE41" s="199">
        <f>+'Exhibit F'!AF37</f>
        <v>22</v>
      </c>
      <c r="AF41" s="66"/>
      <c r="AG41" s="1620"/>
      <c r="AH41" s="274">
        <f t="shared" ref="AH41" si="6">ROUND(SUM(+AB41-AE41),1)</f>
        <v>-1.5</v>
      </c>
      <c r="AI41" s="67"/>
      <c r="AJ41" s="553">
        <f>ROUND(IF(AE41=0,1,AH41/ABS(AE41)),3)</f>
        <v>-6.8000000000000005E-2</v>
      </c>
    </row>
    <row r="42" spans="1:36" ht="15.5">
      <c r="A42" s="88" t="s">
        <v>372</v>
      </c>
      <c r="B42" s="66"/>
      <c r="C42" s="72">
        <f>ROUND(SUM(C32:C41),1)</f>
        <v>1685.4</v>
      </c>
      <c r="D42" s="66"/>
      <c r="E42" s="72">
        <f>ROUND(SUM(E32:E41),1)</f>
        <v>1644.6</v>
      </c>
      <c r="F42" s="66"/>
      <c r="G42" s="72">
        <f>ROUND(SUM(G32:G41),1)</f>
        <v>2099.6</v>
      </c>
      <c r="H42" s="66"/>
      <c r="I42" s="72">
        <f>ROUND(SUM(I32:I41),1)</f>
        <v>1719.7</v>
      </c>
      <c r="J42" s="66"/>
      <c r="K42" s="72">
        <f>ROUND(SUM(K32:K41),1)</f>
        <v>1711.5</v>
      </c>
      <c r="L42" s="66"/>
      <c r="M42" s="72">
        <f>ROUND(SUM(M32:M41),1)</f>
        <v>2118.6999999999998</v>
      </c>
      <c r="N42" s="66"/>
      <c r="O42" s="72">
        <f>ROUND(SUM(O32:O41),1)</f>
        <v>1709.8</v>
      </c>
      <c r="P42" s="66"/>
      <c r="Q42" s="72">
        <f>ROUND(SUM(Q32:Q41),1)</f>
        <v>1704.1</v>
      </c>
      <c r="R42" s="66"/>
      <c r="S42" s="72">
        <f>ROUND(SUM(S32:S41),1)</f>
        <v>2106.1</v>
      </c>
      <c r="T42" s="66"/>
      <c r="U42" s="72">
        <f>ROUND(SUM(U32:U41),1)</f>
        <v>1861.2</v>
      </c>
      <c r="V42" s="66"/>
      <c r="W42" s="72">
        <f>ROUND(SUM(W32:W41),1)</f>
        <v>1542.3</v>
      </c>
      <c r="X42" s="66"/>
      <c r="Y42" s="72">
        <f>ROUND(SUM(Y32:Y41),1)</f>
        <v>0</v>
      </c>
      <c r="Z42" s="66"/>
      <c r="AA42" s="401"/>
      <c r="AB42" s="72">
        <f>ROUND(SUM(AB32:AB41),1)</f>
        <v>19903</v>
      </c>
      <c r="AC42" s="66"/>
      <c r="AD42" s="879"/>
      <c r="AE42" s="72">
        <f>ROUND(SUM(AE32:AE41),1)</f>
        <v>19408.5</v>
      </c>
      <c r="AF42" s="66"/>
      <c r="AG42" s="1620"/>
      <c r="AH42" s="72">
        <f>ROUND(SUM(AH32:AH41),1)</f>
        <v>494.5</v>
      </c>
      <c r="AI42" s="331"/>
      <c r="AJ42" s="427">
        <f>ROUND(SUM(+AH42/ABS(AE42)),3)</f>
        <v>2.5000000000000001E-2</v>
      </c>
    </row>
    <row r="43" spans="1:36" ht="15.5">
      <c r="A43" s="423" t="s">
        <v>373</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401"/>
      <c r="AB43" s="66"/>
      <c r="AC43" s="66"/>
      <c r="AD43" s="879"/>
      <c r="AE43" s="199"/>
      <c r="AF43" s="66"/>
      <c r="AG43" s="1620"/>
      <c r="AH43" s="278"/>
      <c r="AI43" s="66"/>
      <c r="AJ43" s="278"/>
    </row>
    <row r="44" spans="1:36" ht="15.5">
      <c r="A44" s="294" t="s">
        <v>374</v>
      </c>
      <c r="B44" s="66"/>
      <c r="C44" s="199">
        <f>+'Exhibit F'!D40+'Exhibit G State'!D31</f>
        <v>1306.7</v>
      </c>
      <c r="D44" s="199"/>
      <c r="E44" s="199">
        <f>+'Exhibit F'!F40+'Exhibit G State'!F31</f>
        <v>180.29999999999995</v>
      </c>
      <c r="F44" s="199"/>
      <c r="G44" s="199">
        <f>+'Exhibit F'!H40+'Exhibit G State'!H31</f>
        <v>1484.3000000000002</v>
      </c>
      <c r="H44" s="199"/>
      <c r="I44" s="199">
        <f>+'Exhibit F'!J40+'Exhibit G State'!J31</f>
        <v>64.499999999999659</v>
      </c>
      <c r="J44" s="199"/>
      <c r="K44" s="199">
        <f>+'Exhibit F'!L40+'Exhibit G State'!L31</f>
        <v>13.5</v>
      </c>
      <c r="L44" s="199"/>
      <c r="M44" s="199">
        <f>+'Exhibit F'!N40+'Exhibit G State'!N31</f>
        <v>1544.4000000000003</v>
      </c>
      <c r="N44" s="66"/>
      <c r="O44" s="199">
        <f>+'Exhibit F'!P40+'Exhibit G State'!P31</f>
        <v>91.699999999999591</v>
      </c>
      <c r="P44" s="66"/>
      <c r="Q44" s="199">
        <f>+'Exhibit F'!R40+'Exhibit G State'!R31</f>
        <v>-8.5999999999999091</v>
      </c>
      <c r="R44" s="199"/>
      <c r="S44" s="199">
        <f>+'Exhibit F'!T40+'Exhibit G State'!T31</f>
        <v>1599.9999999999995</v>
      </c>
      <c r="T44" s="199"/>
      <c r="U44" s="199">
        <f>+'Exhibit F'!V40+'Exhibit G State'!V31</f>
        <v>154.60000000000014</v>
      </c>
      <c r="V44" s="199"/>
      <c r="W44" s="199">
        <f>+'Exhibit F'!X40+'Exhibit G State'!X31</f>
        <v>-30.100000000000136</v>
      </c>
      <c r="X44" s="199"/>
      <c r="Y44" s="199"/>
      <c r="Z44" s="66"/>
      <c r="AA44" s="401"/>
      <c r="AB44" s="199">
        <f t="shared" ref="AB44:AB49" si="7">ROUND(SUM(C44:Y44),1)</f>
        <v>6401.3</v>
      </c>
      <c r="AC44" s="66"/>
      <c r="AD44" s="879"/>
      <c r="AE44" s="199">
        <f>+'Exhibit F'!AF40+'Exhibit G State'!AF31</f>
        <v>7057</v>
      </c>
      <c r="AF44" s="66"/>
      <c r="AG44" s="1620"/>
      <c r="AH44" s="274">
        <f t="shared" ref="AH44:AH56" si="8">ROUND(SUM(+AB44-AE44),1)</f>
        <v>-655.7</v>
      </c>
      <c r="AI44" s="67"/>
      <c r="AJ44" s="293">
        <f t="shared" ref="AJ44:AJ50" si="9">ROUND(SUM(+AH44/ABS(AE44)),3)</f>
        <v>-9.2999999999999999E-2</v>
      </c>
    </row>
    <row r="45" spans="1:36" ht="15.5">
      <c r="A45" s="294" t="s">
        <v>375</v>
      </c>
      <c r="B45" s="66"/>
      <c r="C45" s="199">
        <f>+'Exhibit G State'!D32+'Exhibit F'!D41</f>
        <v>26.8</v>
      </c>
      <c r="D45" s="199"/>
      <c r="E45" s="199">
        <f>+'Exhibit G State'!F32+'Exhibit F'!F41</f>
        <v>8.8999999999999986</v>
      </c>
      <c r="F45" s="199"/>
      <c r="G45" s="199">
        <f>+'Exhibit G State'!H32+'Exhibit F'!H41</f>
        <v>82.6</v>
      </c>
      <c r="H45" s="199"/>
      <c r="I45" s="199">
        <f>+'Exhibit G State'!J32+'Exhibit F'!J41</f>
        <v>1.7000000000000099</v>
      </c>
      <c r="J45" s="199"/>
      <c r="K45" s="199">
        <f>+'Exhibit G State'!L32+'Exhibit F'!L41</f>
        <v>-7.6000000000000014</v>
      </c>
      <c r="L45" s="199"/>
      <c r="M45" s="199">
        <f>+'Exhibit G State'!N32+'Exhibit F'!N41</f>
        <v>117.5</v>
      </c>
      <c r="N45" s="66"/>
      <c r="O45" s="199">
        <f>+'Exhibit G State'!P32+'Exhibit F'!P41</f>
        <v>-1.0999999999999943</v>
      </c>
      <c r="P45" s="66"/>
      <c r="Q45" s="199">
        <f>+'Exhibit G State'!R32+'Exhibit F'!R41</f>
        <v>0.9000000000000199</v>
      </c>
      <c r="R45" s="199"/>
      <c r="S45" s="199">
        <f>+'Exhibit G State'!T32+'Exhibit F'!T41</f>
        <v>86.799999999999983</v>
      </c>
      <c r="T45" s="199"/>
      <c r="U45" s="199">
        <f>+'Exhibit G State'!V32+'Exhibit F'!V41</f>
        <v>1.1999999999999886</v>
      </c>
      <c r="V45" s="199"/>
      <c r="W45" s="199">
        <f>+'Exhibit G State'!X32+'Exhibit F'!X41</f>
        <v>4.4000000000000057</v>
      </c>
      <c r="X45" s="199"/>
      <c r="Y45" s="199"/>
      <c r="Z45" s="66"/>
      <c r="AA45" s="401"/>
      <c r="AB45" s="199">
        <f t="shared" si="7"/>
        <v>322.10000000000002</v>
      </c>
      <c r="AC45" s="66"/>
      <c r="AD45" s="879"/>
      <c r="AE45" s="199">
        <f>+'Exhibit G State'!AF32+'Exhibit F'!AF41</f>
        <v>357.6</v>
      </c>
      <c r="AF45" s="66"/>
      <c r="AG45" s="1620"/>
      <c r="AH45" s="274">
        <f t="shared" si="8"/>
        <v>-35.5</v>
      </c>
      <c r="AI45" s="67"/>
      <c r="AJ45" s="293">
        <f t="shared" si="9"/>
        <v>-9.9000000000000005E-2</v>
      </c>
    </row>
    <row r="46" spans="1:36" ht="15.5">
      <c r="A46" s="294" t="s">
        <v>376</v>
      </c>
      <c r="B46" s="66"/>
      <c r="C46" s="199">
        <f>+'Exhibit F'!D42+'Exhibit G State'!D33</f>
        <v>143</v>
      </c>
      <c r="D46" s="199"/>
      <c r="E46" s="199">
        <f>+'Exhibit F'!F42+'Exhibit G State'!F33</f>
        <v>10.699999999999985</v>
      </c>
      <c r="F46" s="199"/>
      <c r="G46" s="199">
        <f>+'Exhibit F'!H42+'Exhibit G State'!H33</f>
        <v>541.20000000000005</v>
      </c>
      <c r="H46" s="199"/>
      <c r="I46" s="199">
        <f>+'Exhibit F'!J42+'Exhibit G State'!J33</f>
        <v>8.5000000000000711</v>
      </c>
      <c r="J46" s="199"/>
      <c r="K46" s="199">
        <f>+'Exhibit F'!L42+'Exhibit G State'!L33</f>
        <v>20.699999999999875</v>
      </c>
      <c r="L46" s="199"/>
      <c r="M46" s="199">
        <f>+'Exhibit F'!N42+'Exhibit G State'!N33</f>
        <v>530.40000000000009</v>
      </c>
      <c r="N46" s="66"/>
      <c r="O46" s="199">
        <f>+'Exhibit F'!P42+'Exhibit G State'!P33</f>
        <v>5.0000000000002274</v>
      </c>
      <c r="P46" s="66"/>
      <c r="Q46" s="199">
        <f>+'Exhibit F'!R42+'Exhibit G State'!R33</f>
        <v>7.9000000000000341</v>
      </c>
      <c r="R46" s="199"/>
      <c r="S46" s="199">
        <f>+'Exhibit F'!T42+'Exhibit G State'!T33</f>
        <v>515.09999999999991</v>
      </c>
      <c r="T46" s="199"/>
      <c r="U46" s="199">
        <f>+'Exhibit F'!V42+'Exhibit G State'!V33</f>
        <v>9.3999999999999488</v>
      </c>
      <c r="V46" s="199"/>
      <c r="W46" s="199">
        <f>+'Exhibit F'!X42+'Exhibit G State'!X33</f>
        <v>12.400000000000034</v>
      </c>
      <c r="X46" s="199"/>
      <c r="Y46" s="199"/>
      <c r="Z46" s="66"/>
      <c r="AA46" s="401"/>
      <c r="AB46" s="199">
        <f t="shared" si="7"/>
        <v>1804.3</v>
      </c>
      <c r="AC46" s="66"/>
      <c r="AD46" s="879"/>
      <c r="AE46" s="199">
        <f>+'Exhibit F'!AF42+'Exhibit G State'!AF33</f>
        <v>1779.1000000000001</v>
      </c>
      <c r="AF46" s="66"/>
      <c r="AG46" s="1620"/>
      <c r="AH46" s="274">
        <f t="shared" si="8"/>
        <v>25.2</v>
      </c>
      <c r="AI46" s="67"/>
      <c r="AJ46" s="293">
        <f t="shared" si="9"/>
        <v>1.4E-2</v>
      </c>
    </row>
    <row r="47" spans="1:36" ht="15.5">
      <c r="A47" s="294" t="s">
        <v>377</v>
      </c>
      <c r="B47" s="66"/>
      <c r="C47" s="199">
        <f>+'Exhibit F'!D43+'Exhibit G State'!D34</f>
        <v>0.79999999999999993</v>
      </c>
      <c r="D47" s="199"/>
      <c r="E47" s="199">
        <f>+'Exhibit F'!F43+'Exhibit G State'!F34</f>
        <v>0</v>
      </c>
      <c r="F47" s="199"/>
      <c r="G47" s="199">
        <f>+'Exhibit F'!H43+'Exhibit G State'!H34</f>
        <v>-1.8000000000000003</v>
      </c>
      <c r="H47" s="199"/>
      <c r="I47" s="199">
        <f>+'Exhibit F'!J43+'Exhibit G State'!J34</f>
        <v>0</v>
      </c>
      <c r="J47" s="199"/>
      <c r="K47" s="199">
        <f>+'Exhibit F'!L43+'Exhibit G State'!L34</f>
        <v>0.50000000000000033</v>
      </c>
      <c r="L47" s="199"/>
      <c r="M47" s="199">
        <f>+'Exhibit F'!N43+'Exhibit G State'!N34</f>
        <v>0</v>
      </c>
      <c r="N47" s="66"/>
      <c r="O47" s="199">
        <f>+'Exhibit F'!P43+'Exhibit G State'!P34</f>
        <v>9.9999999999999867E-2</v>
      </c>
      <c r="P47" s="66"/>
      <c r="Q47" s="199">
        <f>+'Exhibit F'!R43+'Exhibit G State'!R34</f>
        <v>0</v>
      </c>
      <c r="R47" s="199"/>
      <c r="S47" s="199">
        <f>+'Exhibit F'!T43+'Exhibit G State'!T34</f>
        <v>0</v>
      </c>
      <c r="T47" s="199"/>
      <c r="U47" s="199">
        <f>+'Exhibit F'!V43+'Exhibit G State'!V34</f>
        <v>333.2</v>
      </c>
      <c r="V47" s="199"/>
      <c r="W47" s="199">
        <f>+'Exhibit F'!X43+'Exhibit G State'!X34</f>
        <v>0</v>
      </c>
      <c r="X47" s="199"/>
      <c r="Y47" s="199"/>
      <c r="Z47" s="66"/>
      <c r="AA47" s="401"/>
      <c r="AB47" s="199">
        <f t="shared" si="7"/>
        <v>332.8</v>
      </c>
      <c r="AC47" s="66"/>
      <c r="AD47" s="879"/>
      <c r="AE47" s="199">
        <f>+'Exhibit F'!AF43+'Exhibit G State'!AF34</f>
        <v>1</v>
      </c>
      <c r="AF47" s="66"/>
      <c r="AG47" s="1620"/>
      <c r="AH47" s="274">
        <f t="shared" si="8"/>
        <v>331.8</v>
      </c>
      <c r="AI47" s="67"/>
      <c r="AJ47" s="553">
        <f>ROUND(IF(AE47=0,1,AH47/ABS(AE47)),3)</f>
        <v>331.8</v>
      </c>
    </row>
    <row r="48" spans="1:36" ht="15.5">
      <c r="A48" s="294" t="s">
        <v>378</v>
      </c>
      <c r="B48" s="66"/>
      <c r="C48" s="199">
        <f>+'Exhibit F'!D44+'Exhibit H'!B23</f>
        <v>45.4</v>
      </c>
      <c r="D48" s="199"/>
      <c r="E48" s="199">
        <f>+'Exhibit F'!F44+'Exhibit H'!D23</f>
        <v>144.89999999999998</v>
      </c>
      <c r="F48" s="199"/>
      <c r="G48" s="199">
        <f>+'Exhibit F'!H44+'Exhibit H'!F23</f>
        <v>3090.5</v>
      </c>
      <c r="H48" s="199"/>
      <c r="I48" s="199">
        <f>+'Exhibit F'!J44+'Exhibit H'!H23</f>
        <v>-51.099999999999909</v>
      </c>
      <c r="J48" s="199"/>
      <c r="K48" s="199">
        <f>+'Exhibit F'!L44+'Exhibit H'!J23</f>
        <v>108.79999999999973</v>
      </c>
      <c r="L48" s="199"/>
      <c r="M48" s="199">
        <f>+'Exhibit F'!N44+'Exhibit H'!L23</f>
        <v>3057</v>
      </c>
      <c r="N48" s="66"/>
      <c r="O48" s="199">
        <f>+'Exhibit F'!P44+'Exhibit H'!N23</f>
        <v>-918.30000000000018</v>
      </c>
      <c r="P48" s="66"/>
      <c r="Q48" s="199">
        <f>+'Exhibit F'!R44+'Exhibit H'!P23</f>
        <v>108</v>
      </c>
      <c r="R48" s="199"/>
      <c r="S48" s="199">
        <f>+'Exhibit F'!T44+'Exhibit H'!R23</f>
        <v>5386.7</v>
      </c>
      <c r="T48" s="199"/>
      <c r="U48" s="199">
        <f>+'Exhibit F'!V44+'Exhibit H'!T23</f>
        <v>375.89999999999964</v>
      </c>
      <c r="V48" s="199"/>
      <c r="W48" s="199">
        <f>+'Exhibit F'!X44+'Exhibit H'!V23</f>
        <v>172.5</v>
      </c>
      <c r="X48" s="199"/>
      <c r="Y48" s="199"/>
      <c r="Z48" s="66"/>
      <c r="AA48" s="401"/>
      <c r="AB48" s="199">
        <f t="shared" si="7"/>
        <v>11520.3</v>
      </c>
      <c r="AC48" s="66"/>
      <c r="AD48" s="879"/>
      <c r="AE48" s="199">
        <f>+'Exhibit F'!AF44+'Exhibit H'!AD23</f>
        <v>9610.2000000000007</v>
      </c>
      <c r="AF48" s="66"/>
      <c r="AG48" s="1620"/>
      <c r="AH48" s="274">
        <f t="shared" si="8"/>
        <v>1910.1</v>
      </c>
      <c r="AI48" s="67"/>
      <c r="AJ48" s="276">
        <f>ROUND(IF(AE48=0,1,AH48/ABS(AE48)),3)</f>
        <v>0.19900000000000001</v>
      </c>
    </row>
    <row r="49" spans="1:36" ht="15.5">
      <c r="A49" s="294" t="s">
        <v>379</v>
      </c>
      <c r="B49" s="66"/>
      <c r="C49" s="199">
        <f>+'Exhibit F'!D45+'Exhibit G State'!D35</f>
        <v>36.700000000000003</v>
      </c>
      <c r="D49" s="199"/>
      <c r="E49" s="199">
        <f>+'Exhibit F'!F45+'Exhibit G State'!F35</f>
        <v>39.5</v>
      </c>
      <c r="F49" s="199"/>
      <c r="G49" s="199">
        <f>+'Exhibit F'!H45+'Exhibit G State'!H35</f>
        <v>42.7</v>
      </c>
      <c r="H49" s="199"/>
      <c r="I49" s="199">
        <f>+'Exhibit F'!J45+'Exhibit G State'!J35</f>
        <v>41</v>
      </c>
      <c r="J49" s="199"/>
      <c r="K49" s="199">
        <f>+'Exhibit F'!L45+'Exhibit G State'!L35</f>
        <v>43.499999999999986</v>
      </c>
      <c r="L49" s="199"/>
      <c r="M49" s="199">
        <f>+'Exhibit F'!N45+'Exhibit G State'!N35</f>
        <v>40.699999999999989</v>
      </c>
      <c r="N49" s="66"/>
      <c r="O49" s="199">
        <f>+'Exhibit F'!P45+'Exhibit G State'!P35</f>
        <v>38.800000000000011</v>
      </c>
      <c r="P49" s="66"/>
      <c r="Q49" s="199">
        <f>+'Exhibit F'!R45+'Exhibit G State'!R35</f>
        <v>40.700000000000045</v>
      </c>
      <c r="R49" s="199"/>
      <c r="S49" s="199">
        <f>+'Exhibit F'!T45+'Exhibit G State'!T35</f>
        <v>37.299999999999955</v>
      </c>
      <c r="T49" s="199"/>
      <c r="U49" s="199">
        <f>+'Exhibit F'!V45+'Exhibit G State'!V35</f>
        <v>34</v>
      </c>
      <c r="V49" s="199"/>
      <c r="W49" s="199">
        <f>+'Exhibit F'!X45+'Exhibit G State'!X35</f>
        <v>36.5</v>
      </c>
      <c r="X49" s="199"/>
      <c r="Y49" s="199"/>
      <c r="Z49" s="66"/>
      <c r="AA49" s="401"/>
      <c r="AB49" s="199">
        <f t="shared" si="7"/>
        <v>431.4</v>
      </c>
      <c r="AC49" s="66"/>
      <c r="AD49" s="879"/>
      <c r="AE49" s="199">
        <f>+'Exhibit F'!AF45+'Exhibit G State'!AF35</f>
        <v>451.6</v>
      </c>
      <c r="AF49" s="66"/>
      <c r="AG49" s="1620"/>
      <c r="AH49" s="274">
        <f t="shared" si="8"/>
        <v>-20.2</v>
      </c>
      <c r="AI49" s="67"/>
      <c r="AJ49" s="293">
        <f t="shared" si="9"/>
        <v>-4.4999999999999998E-2</v>
      </c>
    </row>
    <row r="50" spans="1:36" ht="15.5">
      <c r="A50" s="88" t="s">
        <v>380</v>
      </c>
      <c r="B50" s="66"/>
      <c r="C50" s="72">
        <f>ROUND(SUM(C44:C49),1)</f>
        <v>1559.4</v>
      </c>
      <c r="D50" s="66"/>
      <c r="E50" s="72">
        <f>ROUND(SUM(E44:E49),1)</f>
        <v>384.3</v>
      </c>
      <c r="F50" s="66"/>
      <c r="G50" s="72">
        <f>ROUND(SUM(G44:G49),1)</f>
        <v>5239.5</v>
      </c>
      <c r="H50" s="66"/>
      <c r="I50" s="72">
        <f>ROUND(SUM(I44:I49),1)</f>
        <v>64.599999999999994</v>
      </c>
      <c r="J50" s="66"/>
      <c r="K50" s="72">
        <f>ROUND(SUM(K44:K49),1)</f>
        <v>179.4</v>
      </c>
      <c r="L50" s="66"/>
      <c r="M50" s="72">
        <f>ROUND(SUM(M44:M49),1)</f>
        <v>5290</v>
      </c>
      <c r="N50" s="66"/>
      <c r="O50" s="72">
        <f>ROUND(SUM(O44:O49),1)</f>
        <v>-783.8</v>
      </c>
      <c r="P50" s="66"/>
      <c r="Q50" s="72">
        <f>ROUND(SUM(Q44:Q49),1)</f>
        <v>148.9</v>
      </c>
      <c r="R50" s="66"/>
      <c r="S50" s="72">
        <f>ROUND(SUM(S44:S49),1)</f>
        <v>7625.9</v>
      </c>
      <c r="T50" s="66"/>
      <c r="U50" s="72">
        <f>ROUND(SUM(U44:U49),1)</f>
        <v>908.3</v>
      </c>
      <c r="V50" s="66"/>
      <c r="W50" s="72">
        <f>ROUND(SUM(W44:W49),1)</f>
        <v>195.7</v>
      </c>
      <c r="X50" s="66"/>
      <c r="Y50" s="72">
        <f>ROUND(SUM(Y44:Y49),1)</f>
        <v>0</v>
      </c>
      <c r="Z50" s="66"/>
      <c r="AA50" s="401"/>
      <c r="AB50" s="72">
        <f>ROUND(SUM(AB44:AB49),1)</f>
        <v>20812.2</v>
      </c>
      <c r="AC50" s="66"/>
      <c r="AD50" s="879"/>
      <c r="AE50" s="72">
        <f>ROUND(SUM(AE44:AE49),1)</f>
        <v>19256.5</v>
      </c>
      <c r="AF50" s="66"/>
      <c r="AG50" s="1620"/>
      <c r="AH50" s="72">
        <f>ROUND(SUM(AH44:AH49),1)</f>
        <v>1555.7</v>
      </c>
      <c r="AI50" s="331"/>
      <c r="AJ50" s="427">
        <f t="shared" si="9"/>
        <v>8.1000000000000003E-2</v>
      </c>
    </row>
    <row r="51" spans="1:36" ht="15.5">
      <c r="A51" s="423" t="s">
        <v>381</v>
      </c>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401"/>
      <c r="AB51" s="66"/>
      <c r="AC51" s="66"/>
      <c r="AD51" s="879"/>
      <c r="AE51" s="199"/>
      <c r="AF51" s="66"/>
      <c r="AG51" s="1620"/>
      <c r="AH51" s="278"/>
      <c r="AI51" s="66"/>
      <c r="AJ51" s="278"/>
    </row>
    <row r="52" spans="1:36" ht="15.5">
      <c r="A52" s="294" t="s">
        <v>382</v>
      </c>
      <c r="B52" s="66"/>
      <c r="C52" s="199">
        <f>+'Exhibit F'!D48</f>
        <v>0</v>
      </c>
      <c r="D52" s="199"/>
      <c r="E52" s="199">
        <f>+'Exhibit F'!F48</f>
        <v>0</v>
      </c>
      <c r="F52" s="199"/>
      <c r="G52" s="199">
        <f>+'Exhibit F'!H48</f>
        <v>0</v>
      </c>
      <c r="H52" s="199"/>
      <c r="I52" s="199">
        <f>+'Exhibit F'!J48</f>
        <v>0</v>
      </c>
      <c r="J52" s="199"/>
      <c r="K52" s="199">
        <f>+'Exhibit F'!L48</f>
        <v>0</v>
      </c>
      <c r="L52" s="66"/>
      <c r="M52" s="199">
        <f>+'Exhibit F'!N48</f>
        <v>0</v>
      </c>
      <c r="N52" s="66"/>
      <c r="O52" s="199">
        <f>+'Exhibit F'!P48</f>
        <v>0</v>
      </c>
      <c r="P52" s="66"/>
      <c r="Q52" s="199">
        <f>+'Exhibit F'!R48</f>
        <v>0</v>
      </c>
      <c r="R52" s="199"/>
      <c r="S52" s="199">
        <f>+'Exhibit F'!T48</f>
        <v>0</v>
      </c>
      <c r="T52" s="199"/>
      <c r="U52" s="199">
        <f>+'Exhibit F'!V48</f>
        <v>0</v>
      </c>
      <c r="V52" s="199"/>
      <c r="W52" s="199">
        <f>+'Exhibit F'!X48</f>
        <v>0</v>
      </c>
      <c r="X52" s="199"/>
      <c r="Y52" s="199"/>
      <c r="Z52" s="66"/>
      <c r="AA52" s="401"/>
      <c r="AB52" s="199">
        <f t="shared" ref="AB52:AB56" si="10">ROUND(SUM(C52:Y52),1)</f>
        <v>0</v>
      </c>
      <c r="AC52" s="66"/>
      <c r="AD52" s="879"/>
      <c r="AE52" s="199">
        <f>+'Exhibit F'!AF48</f>
        <v>0</v>
      </c>
      <c r="AF52" s="66"/>
      <c r="AG52" s="1620"/>
      <c r="AH52" s="274">
        <f t="shared" si="8"/>
        <v>0</v>
      </c>
      <c r="AI52" s="66"/>
      <c r="AJ52" s="276">
        <f>ROUND(IF(AE52=0,0,AH52/ABS(AE52)),3)</f>
        <v>0</v>
      </c>
    </row>
    <row r="53" spans="1:36" ht="15.5">
      <c r="A53" s="294" t="s">
        <v>383</v>
      </c>
      <c r="B53" s="66"/>
      <c r="C53" s="199">
        <f>+'Exhibit F'!D49</f>
        <v>183.8</v>
      </c>
      <c r="D53" s="199"/>
      <c r="E53" s="199">
        <f>+'Exhibit F'!F49</f>
        <v>119.79999999999995</v>
      </c>
      <c r="F53" s="199"/>
      <c r="G53" s="199">
        <f>+'Exhibit F'!H49</f>
        <v>111.00000000000006</v>
      </c>
      <c r="H53" s="199"/>
      <c r="I53" s="199">
        <f>+'Exhibit F'!J49</f>
        <v>94.799999999999955</v>
      </c>
      <c r="J53" s="199"/>
      <c r="K53" s="199">
        <f>+'Exhibit F'!L49</f>
        <v>121.89999999999998</v>
      </c>
      <c r="L53" s="66"/>
      <c r="M53" s="199">
        <f>+'Exhibit F'!N49</f>
        <v>100.50000000000006</v>
      </c>
      <c r="N53" s="66"/>
      <c r="O53" s="199">
        <f>+'Exhibit F'!P49</f>
        <v>77.5</v>
      </c>
      <c r="P53" s="66"/>
      <c r="Q53" s="199">
        <f>+'Exhibit F'!R49</f>
        <v>106.80000000000007</v>
      </c>
      <c r="R53" s="199"/>
      <c r="S53" s="199">
        <f>+'Exhibit F'!T49</f>
        <v>136.39999999999998</v>
      </c>
      <c r="T53" s="199"/>
      <c r="U53" s="199">
        <f>+'Exhibit F'!V49</f>
        <v>63.799999999999955</v>
      </c>
      <c r="V53" s="199"/>
      <c r="W53" s="199">
        <f>+'Exhibit F'!X49</f>
        <v>94.799999999999955</v>
      </c>
      <c r="X53" s="199"/>
      <c r="Y53" s="199"/>
      <c r="Z53" s="66"/>
      <c r="AA53" s="401"/>
      <c r="AB53" s="199">
        <f t="shared" si="10"/>
        <v>1211.0999999999999</v>
      </c>
      <c r="AC53" s="66"/>
      <c r="AD53" s="879"/>
      <c r="AE53" s="199">
        <f>+'Exhibit F'!AF49</f>
        <v>1792.8</v>
      </c>
      <c r="AF53" s="66"/>
      <c r="AG53" s="1620"/>
      <c r="AH53" s="274">
        <f t="shared" si="8"/>
        <v>-581.70000000000005</v>
      </c>
      <c r="AI53" s="66"/>
      <c r="AJ53" s="293">
        <f t="shared" ref="AJ53:AJ58" si="11">ROUND(SUM(+AH53/ABS(AE53)),3)</f>
        <v>-0.32400000000000001</v>
      </c>
    </row>
    <row r="54" spans="1:36" ht="15.5">
      <c r="A54" s="294" t="s">
        <v>384</v>
      </c>
      <c r="B54" s="66"/>
      <c r="C54" s="199">
        <f>+'Exhibit F'!D50</f>
        <v>1.2</v>
      </c>
      <c r="D54" s="199"/>
      <c r="E54" s="199">
        <f>+'Exhibit F'!F50</f>
        <v>1.0999999999999999</v>
      </c>
      <c r="F54" s="199"/>
      <c r="G54" s="199">
        <f>+'Exhibit F'!H50</f>
        <v>1.3000000000000005</v>
      </c>
      <c r="H54" s="199"/>
      <c r="I54" s="199">
        <f>+'Exhibit F'!J50</f>
        <v>1.0999999999999999</v>
      </c>
      <c r="J54" s="199"/>
      <c r="K54" s="199">
        <f>+'Exhibit F'!L50</f>
        <v>1.7</v>
      </c>
      <c r="L54" s="66"/>
      <c r="M54" s="199">
        <f>+'Exhibit F'!N50</f>
        <v>1.6999999999999995</v>
      </c>
      <c r="N54" s="66"/>
      <c r="O54" s="199">
        <f>+'Exhibit F'!P50</f>
        <v>0.40000000000000036</v>
      </c>
      <c r="P54" s="66"/>
      <c r="Q54" s="199">
        <f>+'Exhibit F'!R50</f>
        <v>1.1999999999999993</v>
      </c>
      <c r="R54" s="199"/>
      <c r="S54" s="199">
        <f>+'Exhibit F'!T50</f>
        <v>0.70000000000000107</v>
      </c>
      <c r="T54" s="199"/>
      <c r="U54" s="199">
        <f>+'Exhibit F'!V50</f>
        <v>0.5</v>
      </c>
      <c r="V54" s="199"/>
      <c r="W54" s="199">
        <f>+'Exhibit F'!X50</f>
        <v>0.59999999999999964</v>
      </c>
      <c r="X54" s="199"/>
      <c r="Y54" s="199"/>
      <c r="Z54" s="66"/>
      <c r="AA54" s="401"/>
      <c r="AB54" s="199">
        <f t="shared" si="10"/>
        <v>11.5</v>
      </c>
      <c r="AC54" s="66"/>
      <c r="AD54" s="879"/>
      <c r="AE54" s="199">
        <f>+'Exhibit F'!AF50</f>
        <v>12</v>
      </c>
      <c r="AF54" s="66"/>
      <c r="AG54" s="1620"/>
      <c r="AH54" s="274">
        <f t="shared" si="8"/>
        <v>-0.5</v>
      </c>
      <c r="AI54" s="66"/>
      <c r="AJ54" s="293">
        <f t="shared" si="11"/>
        <v>-4.2000000000000003E-2</v>
      </c>
    </row>
    <row r="55" spans="1:36" ht="15.5">
      <c r="A55" s="294" t="s">
        <v>385</v>
      </c>
      <c r="B55" s="66"/>
      <c r="C55" s="199">
        <f>+'Exhibit F'!D51+'Exhibit H'!B26</f>
        <v>83</v>
      </c>
      <c r="D55" s="199"/>
      <c r="E55" s="199">
        <f>+'Exhibit F'!F51+'Exhibit H'!D26</f>
        <v>95.6</v>
      </c>
      <c r="F55" s="199"/>
      <c r="G55" s="199">
        <f>+'Exhibit F'!H51+'Exhibit H'!F26</f>
        <v>69.300000000000011</v>
      </c>
      <c r="H55" s="199"/>
      <c r="I55" s="199">
        <f>+'Exhibit F'!J51+'Exhibit H'!H26</f>
        <v>90.9</v>
      </c>
      <c r="J55" s="199"/>
      <c r="K55" s="199">
        <f>+'Exhibit F'!L51+'Exhibit H'!J26</f>
        <v>97.299999999999983</v>
      </c>
      <c r="L55" s="66"/>
      <c r="M55" s="199">
        <f>+'Exhibit F'!N51+'Exhibit H'!L26</f>
        <v>78.200000000000045</v>
      </c>
      <c r="N55" s="66"/>
      <c r="O55" s="199">
        <f>+'Exhibit F'!P51+'Exhibit H'!N26</f>
        <v>82.099999999999909</v>
      </c>
      <c r="P55" s="66"/>
      <c r="Q55" s="199">
        <f>+'Exhibit F'!R51+'Exhibit H'!P26</f>
        <v>81.300000000000068</v>
      </c>
      <c r="R55" s="199"/>
      <c r="S55" s="199">
        <f>+'Exhibit F'!T51+'Exhibit H'!R26</f>
        <v>75.099999999999909</v>
      </c>
      <c r="T55" s="199"/>
      <c r="U55" s="199">
        <f>+'Exhibit F'!V51+'Exhibit H'!T26</f>
        <v>97.200000000000045</v>
      </c>
      <c r="V55" s="199"/>
      <c r="W55" s="199">
        <f>+'Exhibit F'!X51+'Exhibit H'!V26</f>
        <v>80</v>
      </c>
      <c r="X55" s="199"/>
      <c r="Y55" s="199"/>
      <c r="Z55" s="66"/>
      <c r="AA55" s="401"/>
      <c r="AB55" s="199">
        <f t="shared" si="10"/>
        <v>930</v>
      </c>
      <c r="AC55" s="66"/>
      <c r="AD55" s="879"/>
      <c r="AE55" s="199">
        <f>+'Exhibit F'!AF51+'Exhibit I State'!AG27+'Exhibit H'!AD26</f>
        <v>858.9</v>
      </c>
      <c r="AF55" s="66"/>
      <c r="AG55" s="1620"/>
      <c r="AH55" s="274">
        <f t="shared" si="8"/>
        <v>71.099999999999994</v>
      </c>
      <c r="AI55" s="66"/>
      <c r="AJ55" s="293">
        <f t="shared" si="11"/>
        <v>8.3000000000000004E-2</v>
      </c>
    </row>
    <row r="56" spans="1:36" ht="15.5">
      <c r="A56" s="294" t="s">
        <v>386</v>
      </c>
      <c r="B56" s="66"/>
      <c r="C56" s="199">
        <f>+'Exhibit F'!D52</f>
        <v>0.2</v>
      </c>
      <c r="D56" s="199"/>
      <c r="E56" s="199">
        <f>+'Exhibit F'!F52</f>
        <v>0</v>
      </c>
      <c r="F56" s="199"/>
      <c r="G56" s="199">
        <f>+'Exhibit F'!H52</f>
        <v>0</v>
      </c>
      <c r="H56" s="199"/>
      <c r="I56" s="199">
        <f>+'Exhibit F'!J52</f>
        <v>9.9999999999999978E-2</v>
      </c>
      <c r="J56" s="199"/>
      <c r="K56" s="199">
        <f>+'Exhibit F'!L52</f>
        <v>0</v>
      </c>
      <c r="L56" s="66"/>
      <c r="M56" s="199">
        <f>+'Exhibit F'!N52</f>
        <v>0</v>
      </c>
      <c r="N56" s="66"/>
      <c r="O56" s="199">
        <f>+'Exhibit F'!P52</f>
        <v>0.10000000000000003</v>
      </c>
      <c r="P56" s="66"/>
      <c r="Q56" s="199">
        <f>+'Exhibit F'!R52</f>
        <v>0</v>
      </c>
      <c r="R56" s="199"/>
      <c r="S56" s="199">
        <f>+'Exhibit F'!T52</f>
        <v>1.5</v>
      </c>
      <c r="T56" s="199"/>
      <c r="U56" s="199">
        <f>+'Exhibit F'!V52</f>
        <v>0</v>
      </c>
      <c r="V56" s="199"/>
      <c r="W56" s="199">
        <f>+'Exhibit F'!X52</f>
        <v>0.10000000000000009</v>
      </c>
      <c r="X56" s="199"/>
      <c r="Y56" s="199"/>
      <c r="Z56" s="66"/>
      <c r="AA56" s="401"/>
      <c r="AB56" s="199">
        <f t="shared" si="10"/>
        <v>2</v>
      </c>
      <c r="AC56" s="66"/>
      <c r="AD56" s="879"/>
      <c r="AE56" s="199">
        <f>+'Exhibit F'!AF52</f>
        <v>1.4</v>
      </c>
      <c r="AF56" s="66"/>
      <c r="AG56" s="1620"/>
      <c r="AH56" s="274">
        <f t="shared" si="8"/>
        <v>0.6</v>
      </c>
      <c r="AI56" s="66"/>
      <c r="AJ56" s="276">
        <f>ROUND(IF(AE56=0,1,AH56/ABS(AE56)),3)</f>
        <v>0.42899999999999999</v>
      </c>
    </row>
    <row r="57" spans="1:36" ht="15.5">
      <c r="A57" s="431" t="s">
        <v>387</v>
      </c>
      <c r="B57" s="66"/>
      <c r="C57" s="199">
        <f>+'Exhibit F'!D53+'Exhibit H'!B27</f>
        <v>0.4</v>
      </c>
      <c r="D57" s="199"/>
      <c r="E57" s="199">
        <f>+'Exhibit F'!F53+'Exhibit H'!D27</f>
        <v>0.30000000000000004</v>
      </c>
      <c r="F57" s="199"/>
      <c r="G57" s="199">
        <f>+'Exhibit F'!H53+'Exhibit H'!F27</f>
        <v>0.29999999999999993</v>
      </c>
      <c r="H57" s="199"/>
      <c r="I57" s="199">
        <f>+'Exhibit F'!J53+'Exhibit H'!H27</f>
        <v>0.79999999999999982</v>
      </c>
      <c r="J57" s="199"/>
      <c r="K57" s="199">
        <f>+'Exhibit F'!L53+'Exhibit H'!J27</f>
        <v>0.20000000000000023</v>
      </c>
      <c r="L57" s="199"/>
      <c r="M57" s="199">
        <f>+'Exhibit F'!N53+'Exhibit H'!L27</f>
        <v>0.39999999999999991</v>
      </c>
      <c r="N57" s="199"/>
      <c r="O57" s="199">
        <f>+'Exhibit F'!P53+'Exhibit H'!N27</f>
        <v>0.60000000000000009</v>
      </c>
      <c r="P57" s="66"/>
      <c r="Q57" s="199">
        <f>+'Exhibit F'!R53+'Exhibit H'!P27</f>
        <v>0.60000000000000009</v>
      </c>
      <c r="R57" s="199"/>
      <c r="S57" s="199">
        <f>+'Exhibit F'!T53+'Exhibit H'!R27</f>
        <v>10.200000000000001</v>
      </c>
      <c r="T57" s="199"/>
      <c r="U57" s="199">
        <f>+'Exhibit F'!V53+'Exhibit H'!T27</f>
        <v>0.90000000000000036</v>
      </c>
      <c r="V57" s="199"/>
      <c r="W57" s="199">
        <f>+'Exhibit F'!X53+'Exhibit H'!V27</f>
        <v>0.19999999999999929</v>
      </c>
      <c r="X57" s="199"/>
      <c r="Y57" s="199"/>
      <c r="Z57" s="66"/>
      <c r="AA57" s="401"/>
      <c r="AB57" s="199">
        <f t="shared" ref="AB57" si="12">ROUND(SUM(C57:Y57),1)</f>
        <v>14.9</v>
      </c>
      <c r="AC57" s="66"/>
      <c r="AD57" s="879"/>
      <c r="AE57" s="199">
        <f>+'Exhibit F'!AF53+'Exhibit H'!AD27</f>
        <v>13</v>
      </c>
      <c r="AF57" s="66"/>
      <c r="AG57" s="1620"/>
      <c r="AH57" s="274">
        <f t="shared" ref="AH57" si="13">ROUND(SUM(+AB57-AE57),1)</f>
        <v>1.9</v>
      </c>
      <c r="AI57" s="67"/>
      <c r="AJ57" s="276">
        <f>ROUND(IF(AE57=0,1,AH57/ABS(AE57)),3)</f>
        <v>0.14599999999999999</v>
      </c>
    </row>
    <row r="58" spans="1:36" ht="15.5">
      <c r="A58" s="88" t="s">
        <v>388</v>
      </c>
      <c r="B58" s="66"/>
      <c r="C58" s="72">
        <f>ROUND(SUM(C52:C57),1)</f>
        <v>268.60000000000002</v>
      </c>
      <c r="D58" s="66"/>
      <c r="E58" s="72">
        <f>ROUND(SUM(E52:E57),1)</f>
        <v>216.8</v>
      </c>
      <c r="F58" s="66"/>
      <c r="G58" s="72">
        <f>ROUND(SUM(G52:G57),1)</f>
        <v>181.9</v>
      </c>
      <c r="H58" s="66"/>
      <c r="I58" s="72">
        <f>ROUND(SUM(I52:I57),1)</f>
        <v>187.7</v>
      </c>
      <c r="J58" s="66"/>
      <c r="K58" s="72">
        <f>ROUND(SUM(K52:K57),1)</f>
        <v>221.1</v>
      </c>
      <c r="L58" s="66"/>
      <c r="M58" s="72">
        <f>ROUND(SUM(M52:M57),1)</f>
        <v>180.8</v>
      </c>
      <c r="N58" s="66"/>
      <c r="O58" s="72">
        <f>ROUND(SUM(O52:O57),1)</f>
        <v>160.69999999999999</v>
      </c>
      <c r="P58" s="66"/>
      <c r="Q58" s="72">
        <f>ROUND(SUM(Q52:Q57),1)</f>
        <v>189.9</v>
      </c>
      <c r="R58" s="66"/>
      <c r="S58" s="72">
        <f>ROUND(SUM(S52:S57),1)</f>
        <v>223.9</v>
      </c>
      <c r="T58" s="66"/>
      <c r="U58" s="72">
        <f>ROUND(SUM(U52:U57),1)</f>
        <v>162.4</v>
      </c>
      <c r="V58" s="66"/>
      <c r="W58" s="72">
        <f>ROUND(SUM(W52:W57),1)</f>
        <v>175.7</v>
      </c>
      <c r="X58" s="66"/>
      <c r="Y58" s="72">
        <f>ROUND(SUM(Y52:Y57),1)</f>
        <v>0</v>
      </c>
      <c r="Z58" s="66"/>
      <c r="AA58" s="401"/>
      <c r="AB58" s="72">
        <f>ROUND(SUM(AB52:AB57),1)</f>
        <v>2169.5</v>
      </c>
      <c r="AC58" s="66"/>
      <c r="AD58" s="879"/>
      <c r="AE58" s="72">
        <f>ROUND(SUM(AE52:AE57),1)</f>
        <v>2678.1</v>
      </c>
      <c r="AF58" s="66"/>
      <c r="AG58" s="1620"/>
      <c r="AH58" s="72">
        <f>ROUND(SUM(AH52:AH57),1)</f>
        <v>-508.6</v>
      </c>
      <c r="AI58" s="331"/>
      <c r="AJ58" s="427">
        <f t="shared" si="11"/>
        <v>-0.19</v>
      </c>
    </row>
    <row r="59" spans="1:36" ht="15.5">
      <c r="A59" s="66"/>
      <c r="B59" s="66"/>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200"/>
      <c r="AB59" s="202"/>
      <c r="AC59" s="199"/>
      <c r="AD59" s="882"/>
      <c r="AE59" s="199"/>
      <c r="AF59" s="199"/>
      <c r="AG59" s="1622"/>
      <c r="AH59" s="199"/>
      <c r="AI59" s="66"/>
      <c r="AJ59" s="78"/>
    </row>
    <row r="60" spans="1:36" ht="15.5">
      <c r="A60" s="88" t="s">
        <v>446</v>
      </c>
      <c r="B60" s="374"/>
      <c r="C60" s="1010">
        <f>ROUND(SUM(C58+C50+C42+C30),1)</f>
        <v>10812.8</v>
      </c>
      <c r="D60" s="274"/>
      <c r="E60" s="1010">
        <f>ROUND(SUM(E58+E50+E42+E30),1)</f>
        <v>6098.9</v>
      </c>
      <c r="F60" s="274"/>
      <c r="G60" s="1010">
        <f>ROUND(SUM(G58+G50+G42+G30),1)</f>
        <v>12625.2</v>
      </c>
      <c r="H60" s="274"/>
      <c r="I60" s="1010">
        <f>ROUND(SUM(I58+I50+I42+I30),1)</f>
        <v>6154.5</v>
      </c>
      <c r="J60" s="274"/>
      <c r="K60" s="1010">
        <f>ROUND(SUM(K58+K50+K42+K30),1)</f>
        <v>5623.9</v>
      </c>
      <c r="L60" s="274"/>
      <c r="M60" s="1010">
        <f>ROUND(SUM(M58+M50+M42+M30),1)</f>
        <v>12565.1</v>
      </c>
      <c r="N60" s="274"/>
      <c r="O60" s="1010">
        <f>ROUND(SUM(O58+O50+O42+O30),1)</f>
        <v>3828.5</v>
      </c>
      <c r="P60" s="274"/>
      <c r="Q60" s="1010">
        <f>ROUND(SUM(Q58+Q50+Q42+Q30),1)</f>
        <v>5703.5</v>
      </c>
      <c r="R60" s="274"/>
      <c r="S60" s="1010">
        <f>ROUND(SUM(S58+S50+S42+S30),1)</f>
        <v>15351</v>
      </c>
      <c r="T60" s="274"/>
      <c r="U60" s="1010">
        <f>ROUND(SUM(U58+U50+U42+U30),1)</f>
        <v>12050.3</v>
      </c>
      <c r="V60" s="274"/>
      <c r="W60" s="1010">
        <f>ROUND(SUM(W58+W50+W42+W30),1)</f>
        <v>8142.4</v>
      </c>
      <c r="X60" s="278"/>
      <c r="Y60" s="1010">
        <f>ROUND(SUM(Y58+Y50+Y42+Y30),1)</f>
        <v>0</v>
      </c>
      <c r="Z60" s="278"/>
      <c r="AA60" s="875"/>
      <c r="AB60" s="890">
        <f>ROUND(SUM(C60:Y60),1)</f>
        <v>98956.1</v>
      </c>
      <c r="AC60" s="274"/>
      <c r="AD60" s="534"/>
      <c r="AE60" s="1046">
        <f>ROUND(SUM(+AE30+AE42+AE50+AE58),1)</f>
        <v>90857.9</v>
      </c>
      <c r="AF60" s="274"/>
      <c r="AG60" s="720"/>
      <c r="AH60" s="1046">
        <f>ROUND(+AB60-AE60,1)</f>
        <v>8098.2</v>
      </c>
      <c r="AI60" s="274"/>
      <c r="AJ60" s="378">
        <f>ROUND(SUM(+AH60/ABS(AE60)),3)</f>
        <v>8.8999999999999996E-2</v>
      </c>
    </row>
    <row r="61" spans="1:36" ht="15.5">
      <c r="A61" s="66"/>
      <c r="B61" s="66"/>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200"/>
      <c r="AB61" s="199"/>
      <c r="AC61" s="199"/>
      <c r="AD61" s="882"/>
      <c r="AE61" s="199"/>
      <c r="AF61" s="199"/>
      <c r="AG61" s="1622"/>
      <c r="AH61" s="199"/>
      <c r="AI61" s="66"/>
      <c r="AJ61" s="293"/>
    </row>
    <row r="62" spans="1:36" ht="15.5">
      <c r="A62" s="1248" t="s">
        <v>390</v>
      </c>
      <c r="B62" s="66"/>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c r="AA62" s="200"/>
      <c r="AB62" s="199"/>
      <c r="AC62" s="199"/>
      <c r="AD62" s="882"/>
      <c r="AE62" s="199"/>
      <c r="AF62" s="199"/>
      <c r="AG62" s="1622"/>
      <c r="AH62" s="199"/>
      <c r="AI62" s="66"/>
      <c r="AJ62" s="276"/>
    </row>
    <row r="63" spans="1:36" ht="15.5">
      <c r="A63" s="360" t="s">
        <v>391</v>
      </c>
      <c r="B63" s="66"/>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200"/>
      <c r="AB63" s="199"/>
      <c r="AC63" s="199"/>
      <c r="AD63" s="882"/>
      <c r="AE63" s="199"/>
      <c r="AF63" s="199"/>
      <c r="AG63" s="1622"/>
      <c r="AH63" s="199"/>
      <c r="AI63" s="66"/>
      <c r="AJ63" s="276"/>
    </row>
    <row r="64" spans="1:36" ht="15.5">
      <c r="A64" s="360" t="s">
        <v>392</v>
      </c>
      <c r="B64" s="66"/>
      <c r="C64" s="199">
        <f>+'Exhibit F'!D60+'Exhibit G State'!D42</f>
        <v>1.5</v>
      </c>
      <c r="D64" s="199"/>
      <c r="E64" s="199">
        <f>+'Exhibit F'!F60+'Exhibit G State'!F42</f>
        <v>1</v>
      </c>
      <c r="F64" s="199"/>
      <c r="G64" s="199">
        <f>+'Exhibit F'!H60+'Exhibit G State'!H42</f>
        <v>1</v>
      </c>
      <c r="H64" s="199"/>
      <c r="I64" s="199">
        <f>+'Exhibit F'!J60+'Exhibit G State'!J42</f>
        <v>1.4</v>
      </c>
      <c r="J64" s="199"/>
      <c r="K64" s="199">
        <f>+'Exhibit F'!L60+'Exhibit G State'!L42</f>
        <v>10.9</v>
      </c>
      <c r="L64" s="199"/>
      <c r="M64" s="199">
        <f>+'Exhibit F'!N60+'Exhibit G State'!N42</f>
        <v>101.09999999999998</v>
      </c>
      <c r="N64" s="199"/>
      <c r="O64" s="199">
        <f>+'Exhibit F'!P60+'Exhibit G State'!P42</f>
        <v>31.000000000000028</v>
      </c>
      <c r="P64" s="199"/>
      <c r="Q64" s="199">
        <f>+'Exhibit F'!R60+'Exhibit G State'!R42</f>
        <v>131.1</v>
      </c>
      <c r="R64" s="199"/>
      <c r="S64" s="199">
        <f>+'Exhibit F'!T60+'Exhibit G State'!T42</f>
        <v>1.5000000000000231</v>
      </c>
      <c r="T64" s="199"/>
      <c r="U64" s="199">
        <f>+'Exhibit F'!V60+'Exhibit G State'!V42</f>
        <v>32.199999999999974</v>
      </c>
      <c r="V64" s="199"/>
      <c r="W64" s="199">
        <f>+'Exhibit F'!X60+'Exhibit G State'!X42</f>
        <v>18.300000000000026</v>
      </c>
      <c r="X64" s="199"/>
      <c r="Y64" s="199"/>
      <c r="Z64" s="199"/>
      <c r="AA64" s="200"/>
      <c r="AB64" s="199">
        <f>ROUND(SUM(C64:Y64),1)</f>
        <v>331</v>
      </c>
      <c r="AC64" s="199"/>
      <c r="AD64" s="882"/>
      <c r="AE64" s="199">
        <f>+'Exhibit F'!AF60+'Exhibit G State'!AF42</f>
        <v>326.89999999999998</v>
      </c>
      <c r="AF64" s="199"/>
      <c r="AG64" s="1622"/>
      <c r="AH64" s="199">
        <f t="shared" ref="AH64:AH105" si="14">ROUND(SUM(AB64-AE64),1)</f>
        <v>4.0999999999999996</v>
      </c>
      <c r="AI64" s="66"/>
      <c r="AJ64" s="293">
        <f>ROUND(SUM(AH64/ABS(AE64)),3)</f>
        <v>1.2999999999999999E-2</v>
      </c>
    </row>
    <row r="65" spans="1:36" ht="15.5">
      <c r="A65" s="360" t="s">
        <v>393</v>
      </c>
      <c r="B65" s="66"/>
      <c r="C65" s="199">
        <f>+'Exhibit F'!D61</f>
        <v>0.4</v>
      </c>
      <c r="D65" s="199"/>
      <c r="E65" s="199">
        <f>+'Exhibit F'!F61</f>
        <v>0</v>
      </c>
      <c r="F65" s="199"/>
      <c r="G65" s="199">
        <f>+'Exhibit F'!H61</f>
        <v>17.200000000000003</v>
      </c>
      <c r="H65" s="199"/>
      <c r="I65" s="199">
        <f>+'Exhibit F'!J61</f>
        <v>2.7999999999999972</v>
      </c>
      <c r="J65" s="199"/>
      <c r="K65" s="199">
        <f>+'Exhibit F'!L61</f>
        <v>0.80000000000000071</v>
      </c>
      <c r="L65" s="199"/>
      <c r="M65" s="199">
        <f>+'Exhibit F'!N61</f>
        <v>13.900000000000002</v>
      </c>
      <c r="N65" s="199"/>
      <c r="O65" s="199">
        <f>+'Exhibit F'!P61</f>
        <v>2.7999999999999972</v>
      </c>
      <c r="P65" s="199"/>
      <c r="Q65" s="199">
        <f>+'Exhibit F'!R61</f>
        <v>-0.10000000000000142</v>
      </c>
      <c r="R65" s="199"/>
      <c r="S65" s="199">
        <f>+'Exhibit F'!T61</f>
        <v>22.800000000000004</v>
      </c>
      <c r="T65" s="199"/>
      <c r="U65" s="199">
        <f>+'Exhibit F'!V61</f>
        <v>1.3999999999999986</v>
      </c>
      <c r="V65" s="199"/>
      <c r="W65" s="199">
        <f>+'Exhibit F'!X61</f>
        <v>2.2000000000000028</v>
      </c>
      <c r="X65" s="199"/>
      <c r="Y65" s="199"/>
      <c r="Z65" s="199"/>
      <c r="AA65" s="200"/>
      <c r="AB65" s="199">
        <f>ROUND(SUM(C65:Y65),1)</f>
        <v>64.2</v>
      </c>
      <c r="AC65" s="199"/>
      <c r="AD65" s="882"/>
      <c r="AE65" s="199">
        <f>+'Exhibit F'!AF61</f>
        <v>78.300000000000011</v>
      </c>
      <c r="AF65" s="199"/>
      <c r="AG65" s="1622"/>
      <c r="AH65" s="199">
        <f t="shared" si="14"/>
        <v>-14.1</v>
      </c>
      <c r="AI65" s="66"/>
      <c r="AJ65" s="621">
        <f>ROUND(SUM(AH65/ABS(AE65)),3)</f>
        <v>-0.18</v>
      </c>
    </row>
    <row r="66" spans="1:36" ht="15.5">
      <c r="A66" s="360" t="s">
        <v>394</v>
      </c>
      <c r="B66" s="66"/>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200"/>
      <c r="AB66" s="199"/>
      <c r="AC66" s="199"/>
      <c r="AD66" s="882"/>
      <c r="AE66" s="199"/>
      <c r="AF66" s="199"/>
      <c r="AG66" s="1622"/>
      <c r="AH66" s="199" t="s">
        <v>103</v>
      </c>
      <c r="AI66" s="66" t="s">
        <v>103</v>
      </c>
      <c r="AJ66" s="276" t="s">
        <v>103</v>
      </c>
    </row>
    <row r="67" spans="1:36" ht="15.5">
      <c r="A67" s="360" t="s">
        <v>395</v>
      </c>
      <c r="B67" s="66"/>
      <c r="C67" s="199">
        <f>+'Exhibit F'!D63+'Exhibit G State'!D44</f>
        <v>87</v>
      </c>
      <c r="D67" s="199"/>
      <c r="E67" s="199">
        <f>+'Exhibit F'!F63+'Exhibit G State'!F44</f>
        <v>41.499999999999986</v>
      </c>
      <c r="F67" s="199"/>
      <c r="G67" s="199">
        <f>+'Exhibit F'!H63+'Exhibit G State'!H44</f>
        <v>73.900000000000006</v>
      </c>
      <c r="H67" s="199"/>
      <c r="I67" s="199">
        <f>+'Exhibit F'!J63+'Exhibit G State'!J44</f>
        <v>47.800000000000004</v>
      </c>
      <c r="J67" s="199"/>
      <c r="K67" s="199">
        <f>+'Exhibit F'!L63+'Exhibit G State'!L44</f>
        <v>51</v>
      </c>
      <c r="L67" s="199"/>
      <c r="M67" s="199">
        <f>+'Exhibit F'!N63+'Exhibit G State'!N44</f>
        <v>54.399999999999977</v>
      </c>
      <c r="N67" s="199"/>
      <c r="O67" s="199">
        <f>+'Exhibit F'!P63+'Exhibit G State'!P44</f>
        <v>105.39999999999998</v>
      </c>
      <c r="P67" s="199"/>
      <c r="Q67" s="199">
        <f>+'Exhibit F'!R63+'Exhibit G State'!R44</f>
        <v>49.200000000000067</v>
      </c>
      <c r="R67" s="199"/>
      <c r="S67" s="199">
        <f>+'Exhibit F'!T63+'Exhibit G State'!T44</f>
        <v>96.199999999999932</v>
      </c>
      <c r="T67" s="199"/>
      <c r="U67" s="199">
        <f>+'Exhibit F'!V63+'Exhibit G State'!V44</f>
        <v>99.300000000000068</v>
      </c>
      <c r="V67" s="199"/>
      <c r="W67" s="199">
        <f>+'Exhibit F'!X63+'Exhibit G State'!X44</f>
        <v>26.9</v>
      </c>
      <c r="X67" s="199"/>
      <c r="Y67" s="199"/>
      <c r="Z67" s="199"/>
      <c r="AA67" s="200"/>
      <c r="AB67" s="199">
        <f>ROUND(SUM(C67:Y67),1)</f>
        <v>732.6</v>
      </c>
      <c r="AC67" s="199"/>
      <c r="AD67" s="882"/>
      <c r="AE67" s="199">
        <f>+'Exhibit F'!AF63+'Exhibit G State'!AF44</f>
        <v>614.30000000000007</v>
      </c>
      <c r="AF67" s="199"/>
      <c r="AG67" s="1622"/>
      <c r="AH67" s="199">
        <f t="shared" si="14"/>
        <v>118.3</v>
      </c>
      <c r="AI67" s="66"/>
      <c r="AJ67" s="293">
        <f>ROUND(SUM(AH67/ABS(AE67)),3)</f>
        <v>0.193</v>
      </c>
    </row>
    <row r="68" spans="1:36" ht="15.5">
      <c r="A68" s="360" t="s">
        <v>396</v>
      </c>
      <c r="B68" s="66"/>
      <c r="C68" s="199">
        <f>+'Exhibit F'!D64+'Exhibit G State'!D45</f>
        <v>666.4</v>
      </c>
      <c r="D68" s="199"/>
      <c r="E68" s="199">
        <f>+'Exhibit F'!F64+'Exhibit G State'!F45</f>
        <v>622.70000000000005</v>
      </c>
      <c r="F68" s="199"/>
      <c r="G68" s="199">
        <f>+'Exhibit F'!H64+'Exhibit G State'!H45</f>
        <v>700.69999999999982</v>
      </c>
      <c r="H68" s="199"/>
      <c r="I68" s="199">
        <f>+'Exhibit F'!J64+'Exhibit G State'!J45</f>
        <v>692.30000000000007</v>
      </c>
      <c r="J68" s="199"/>
      <c r="K68" s="199">
        <f>+'Exhibit F'!L64+'Exhibit G State'!L45</f>
        <v>603.50000000000034</v>
      </c>
      <c r="L68" s="199"/>
      <c r="M68" s="199">
        <f>+'Exhibit F'!N64+'Exhibit G State'!N45</f>
        <v>680.49999999999977</v>
      </c>
      <c r="N68" s="199"/>
      <c r="O68" s="199">
        <f>+'Exhibit F'!P64+'Exhibit G State'!P45</f>
        <v>721.59999999999968</v>
      </c>
      <c r="P68" s="199"/>
      <c r="Q68" s="199">
        <f>+'Exhibit F'!R64+'Exhibit G State'!R45</f>
        <v>657.4000000000002</v>
      </c>
      <c r="R68" s="199"/>
      <c r="S68" s="199">
        <f>+'Exhibit F'!T64+'Exhibit G State'!T45</f>
        <v>745.00000000000023</v>
      </c>
      <c r="T68" s="199"/>
      <c r="U68" s="199">
        <f>+'Exhibit F'!V64+'Exhibit G State'!V45</f>
        <v>506.59999999999945</v>
      </c>
      <c r="V68" s="199"/>
      <c r="W68" s="199">
        <f>+'Exhibit F'!X64+'Exhibit G State'!X45</f>
        <v>719.1</v>
      </c>
      <c r="X68" s="199"/>
      <c r="Y68" s="199"/>
      <c r="Z68" s="199"/>
      <c r="AA68" s="200"/>
      <c r="AB68" s="199">
        <f>ROUND(SUM(C68:Y68),1)</f>
        <v>7315.8</v>
      </c>
      <c r="AC68" s="199"/>
      <c r="AD68" s="882"/>
      <c r="AE68" s="199">
        <f>+'Exhibit F'!AF64+'Exhibit G State'!AF45+'Exhibit H'!AD34</f>
        <v>6933.9</v>
      </c>
      <c r="AF68" s="199"/>
      <c r="AG68" s="1622"/>
      <c r="AH68" s="199">
        <f t="shared" si="14"/>
        <v>381.9</v>
      </c>
      <c r="AI68" s="66"/>
      <c r="AJ68" s="293">
        <f>ROUND(SUM(AH68/ABS(AE68)),3)</f>
        <v>5.5E-2</v>
      </c>
    </row>
    <row r="69" spans="1:36" ht="15.5">
      <c r="A69" s="360" t="s">
        <v>397</v>
      </c>
      <c r="B69" s="66"/>
      <c r="C69" s="199">
        <f>+'Exhibit F'!D65+'Exhibit G State'!D46</f>
        <v>3.7</v>
      </c>
      <c r="D69" s="199"/>
      <c r="E69" s="199">
        <f>+'Exhibit F'!F65+'Exhibit G State'!F46</f>
        <v>-0.10000000000000009</v>
      </c>
      <c r="F69" s="199"/>
      <c r="G69" s="199">
        <f>+'Exhibit F'!H65+'Exhibit G State'!H46</f>
        <v>0.89999999999999991</v>
      </c>
      <c r="H69" s="199"/>
      <c r="I69" s="199">
        <f>+'Exhibit F'!J65+'Exhibit G State'!J46</f>
        <v>0</v>
      </c>
      <c r="J69" s="199"/>
      <c r="K69" s="199">
        <f>+'Exhibit F'!L65+'Exhibit G State'!L46</f>
        <v>9.9999999999999645E-2</v>
      </c>
      <c r="L69" s="199"/>
      <c r="M69" s="199">
        <f>+'Exhibit F'!N65+'Exhibit G State'!N46</f>
        <v>57.4</v>
      </c>
      <c r="N69" s="199"/>
      <c r="O69" s="199">
        <f>+'Exhibit F'!P65+'Exhibit G State'!P46</f>
        <v>-13.199999999999996</v>
      </c>
      <c r="P69" s="199"/>
      <c r="Q69" s="199">
        <f>+'Exhibit F'!R65+'Exhibit G State'!R46</f>
        <v>-1.5000000000000071</v>
      </c>
      <c r="R69" s="199"/>
      <c r="S69" s="199">
        <f>+'Exhibit F'!T65+'Exhibit G State'!T46</f>
        <v>0.70000000000000284</v>
      </c>
      <c r="T69" s="199"/>
      <c r="U69" s="199">
        <f>+'Exhibit F'!V65+'Exhibit G State'!V46</f>
        <v>-0.39999999999999858</v>
      </c>
      <c r="V69" s="199"/>
      <c r="W69" s="199">
        <f>+'Exhibit F'!X65+'Exhibit G State'!X46</f>
        <v>0.10000000000000142</v>
      </c>
      <c r="X69" s="199"/>
      <c r="Y69" s="199"/>
      <c r="Z69" s="199"/>
      <c r="AA69" s="200"/>
      <c r="AB69" s="199">
        <f>ROUND(SUM(C69:Y69),1)</f>
        <v>47.7</v>
      </c>
      <c r="AC69" s="199"/>
      <c r="AD69" s="882"/>
      <c r="AE69" s="199">
        <f>+'Exhibit F'!AF65+'Exhibit G State'!AF46</f>
        <v>29.5</v>
      </c>
      <c r="AF69" s="199"/>
      <c r="AG69" s="1622"/>
      <c r="AH69" s="199">
        <f t="shared" si="14"/>
        <v>18.2</v>
      </c>
      <c r="AI69" s="66"/>
      <c r="AJ69" s="553">
        <f>ROUND(IF(AE69=0,0,AH69/ABS(AE69)),3)</f>
        <v>0.61699999999999999</v>
      </c>
    </row>
    <row r="70" spans="1:36" ht="15.5">
      <c r="A70" s="360" t="s">
        <v>398</v>
      </c>
      <c r="B70" s="66"/>
      <c r="C70" s="199">
        <f>+'Exhibit F'!D66+'Exhibit G State'!D47</f>
        <v>0.1</v>
      </c>
      <c r="D70" s="199"/>
      <c r="E70" s="199">
        <f>+'Exhibit F'!F66+'Exhibit G State'!F47</f>
        <v>0</v>
      </c>
      <c r="F70" s="199"/>
      <c r="G70" s="199">
        <f>+'Exhibit F'!H66+'Exhibit G State'!H47</f>
        <v>0</v>
      </c>
      <c r="H70" s="199"/>
      <c r="I70" s="199">
        <f>+'Exhibit F'!J66+'Exhibit G State'!J47</f>
        <v>0</v>
      </c>
      <c r="J70" s="199"/>
      <c r="K70" s="199">
        <f>+'Exhibit F'!L66+'Exhibit G State'!L47</f>
        <v>0</v>
      </c>
      <c r="L70" s="199"/>
      <c r="M70" s="199">
        <f>+'Exhibit F'!N66+'Exhibit G State'!N47</f>
        <v>0.1</v>
      </c>
      <c r="N70" s="199"/>
      <c r="O70" s="199">
        <f>+'Exhibit F'!P66+'Exhibit G State'!P47</f>
        <v>0</v>
      </c>
      <c r="P70" s="199"/>
      <c r="Q70" s="199">
        <f>+'Exhibit F'!R66+'Exhibit G State'!R47</f>
        <v>0</v>
      </c>
      <c r="R70" s="199"/>
      <c r="S70" s="199">
        <f>+'Exhibit F'!T66+'Exhibit G State'!T47</f>
        <v>0</v>
      </c>
      <c r="T70" s="199"/>
      <c r="U70" s="199">
        <f>+'Exhibit F'!V66+'Exhibit G State'!V47</f>
        <v>0.19999999999999998</v>
      </c>
      <c r="V70" s="199"/>
      <c r="W70" s="199">
        <f>+'Exhibit F'!X66+'Exhibit G State'!X47</f>
        <v>0</v>
      </c>
      <c r="X70" s="199"/>
      <c r="Y70" s="199"/>
      <c r="Z70" s="199"/>
      <c r="AA70" s="200"/>
      <c r="AB70" s="199">
        <f>ROUND(SUM(C70:Y70),1)</f>
        <v>0.4</v>
      </c>
      <c r="AC70" s="199"/>
      <c r="AD70" s="882"/>
      <c r="AE70" s="199">
        <f>+'Exhibit F'!AF66+'Exhibit G State'!AF47</f>
        <v>0.8</v>
      </c>
      <c r="AF70" s="199"/>
      <c r="AG70" s="1622"/>
      <c r="AH70" s="199">
        <f t="shared" si="14"/>
        <v>-0.4</v>
      </c>
      <c r="AI70" s="66"/>
      <c r="AJ70" s="276">
        <f>ROUND(IF(AE70=0,1,AH70/ABS(AE70)),3)</f>
        <v>-0.5</v>
      </c>
    </row>
    <row r="71" spans="1:36" ht="15.5">
      <c r="A71" s="360" t="s">
        <v>399</v>
      </c>
      <c r="B71" s="66"/>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200"/>
      <c r="AB71" s="199"/>
      <c r="AC71" s="199"/>
      <c r="AD71" s="882"/>
      <c r="AE71" s="199"/>
      <c r="AF71" s="199"/>
      <c r="AG71" s="1622"/>
      <c r="AH71" s="199"/>
      <c r="AI71" s="66"/>
      <c r="AJ71" s="276"/>
    </row>
    <row r="72" spans="1:36" ht="15.5">
      <c r="A72" s="360" t="s">
        <v>400</v>
      </c>
      <c r="B72" s="66"/>
      <c r="C72" s="199">
        <f>+'Exhibit F'!D68+'Exhibit H'!B36</f>
        <v>5</v>
      </c>
      <c r="D72" s="199"/>
      <c r="E72" s="199">
        <f>+'Exhibit F'!F68+'Exhibit H'!D36</f>
        <v>4.3000000000000007</v>
      </c>
      <c r="F72" s="199"/>
      <c r="G72" s="199">
        <f>+'Exhibit F'!H68+'Exhibit H'!F36</f>
        <v>4.5999999999999996</v>
      </c>
      <c r="H72" s="199"/>
      <c r="I72" s="199">
        <f>+'Exhibit F'!J68+'Exhibit H'!H36</f>
        <v>4.4000000000000004</v>
      </c>
      <c r="J72" s="199"/>
      <c r="K72" s="199">
        <f>+'Exhibit F'!L68+'Exhibit H'!J36</f>
        <v>4.5</v>
      </c>
      <c r="L72" s="199"/>
      <c r="M72" s="199">
        <f>+'Exhibit F'!N68+'Exhibit H'!L36</f>
        <v>3.5999999999999979</v>
      </c>
      <c r="N72" s="199"/>
      <c r="O72" s="199">
        <f>+'Exhibit F'!P68+'Exhibit H'!N36</f>
        <v>9.8999999999999986</v>
      </c>
      <c r="P72" s="199"/>
      <c r="Q72" s="199">
        <f>+'Exhibit F'!R68+'Exhibit H'!P36</f>
        <v>4.9000000000000057</v>
      </c>
      <c r="R72" s="199"/>
      <c r="S72" s="199">
        <f>+'Exhibit F'!T68+'Exhibit H'!R36</f>
        <v>3.5</v>
      </c>
      <c r="T72" s="199"/>
      <c r="U72" s="199">
        <f>+'Exhibit F'!V68+'Exhibit H'!T36</f>
        <v>4.7999999999999972</v>
      </c>
      <c r="V72" s="199"/>
      <c r="W72" s="199">
        <f>+'Exhibit F'!X68+'Exhibit H'!V36</f>
        <v>4.7999999999999972</v>
      </c>
      <c r="X72" s="199"/>
      <c r="Y72" s="199"/>
      <c r="Z72" s="199"/>
      <c r="AA72" s="200"/>
      <c r="AB72" s="199">
        <f t="shared" ref="AB72:AB79" si="15">ROUND(SUM(C72:Y72),1)</f>
        <v>54.3</v>
      </c>
      <c r="AC72" s="199"/>
      <c r="AD72" s="882"/>
      <c r="AE72" s="199">
        <f>+'Exhibit F'!AF68+'Exhibit H'!AD36</f>
        <v>54.7</v>
      </c>
      <c r="AF72" s="199"/>
      <c r="AG72" s="1622"/>
      <c r="AH72" s="199">
        <f t="shared" si="14"/>
        <v>-0.4</v>
      </c>
      <c r="AI72" s="66"/>
      <c r="AJ72" s="293">
        <f>ROUND(SUM(AH72/ABS(AE72)),3)</f>
        <v>-7.0000000000000001E-3</v>
      </c>
    </row>
    <row r="73" spans="1:36" ht="15.5">
      <c r="A73" s="360" t="s">
        <v>401</v>
      </c>
      <c r="B73" s="66"/>
      <c r="C73" s="199">
        <f>'Exhibit G State'!D49</f>
        <v>0</v>
      </c>
      <c r="D73" s="199"/>
      <c r="E73" s="199">
        <f>'Exhibit G State'!F49</f>
        <v>0.1</v>
      </c>
      <c r="F73" s="199"/>
      <c r="G73" s="199">
        <f>'Exhibit G State'!H49</f>
        <v>0.8</v>
      </c>
      <c r="H73" s="199"/>
      <c r="I73" s="199">
        <f>'Exhibit G State'!J49</f>
        <v>1.3999999999999997</v>
      </c>
      <c r="J73" s="199"/>
      <c r="K73" s="199">
        <f>'Exhibit G State'!L49</f>
        <v>0.20000000000000018</v>
      </c>
      <c r="L73" s="199"/>
      <c r="M73" s="199">
        <f>'Exhibit G State'!N49</f>
        <v>0</v>
      </c>
      <c r="N73" s="199"/>
      <c r="O73" s="199">
        <f>'Exhibit G State'!P49</f>
        <v>0</v>
      </c>
      <c r="P73" s="199"/>
      <c r="Q73" s="199">
        <f>'Exhibit G State'!R49</f>
        <v>0</v>
      </c>
      <c r="R73" s="199"/>
      <c r="S73" s="199">
        <f>'Exhibit G State'!T49</f>
        <v>0</v>
      </c>
      <c r="T73" s="199"/>
      <c r="U73" s="199">
        <f>'Exhibit G State'!V49</f>
        <v>0</v>
      </c>
      <c r="V73" s="199"/>
      <c r="W73" s="199">
        <f>'Exhibit G State'!X49</f>
        <v>0</v>
      </c>
      <c r="X73" s="199"/>
      <c r="Y73" s="199"/>
      <c r="Z73" s="199"/>
      <c r="AA73" s="200"/>
      <c r="AB73" s="199">
        <f t="shared" si="15"/>
        <v>2.5</v>
      </c>
      <c r="AC73" s="199"/>
      <c r="AD73" s="882"/>
      <c r="AE73" s="199">
        <f>'Exhibit G State'!AF49</f>
        <v>2.7</v>
      </c>
      <c r="AF73" s="199"/>
      <c r="AG73" s="1622"/>
      <c r="AH73" s="199">
        <f t="shared" si="14"/>
        <v>-0.2</v>
      </c>
      <c r="AI73" s="66"/>
      <c r="AJ73" s="276">
        <f>ROUND(IF(AE73=0,1,AH73/ABS(AE73)),3)</f>
        <v>-7.3999999999999996E-2</v>
      </c>
    </row>
    <row r="74" spans="1:36" ht="15.5">
      <c r="A74" s="360" t="s">
        <v>402</v>
      </c>
      <c r="B74" s="66"/>
      <c r="C74" s="199">
        <f>+'Exhibit F'!D70+'Exhibit G State'!D50+'Exhibit H'!B37</f>
        <v>63.9</v>
      </c>
      <c r="D74" s="199"/>
      <c r="E74" s="199">
        <f>+'Exhibit F'!F70+'Exhibit G State'!F50+'Exhibit H'!D37</f>
        <v>45.599999999999994</v>
      </c>
      <c r="F74" s="199"/>
      <c r="G74" s="199">
        <f>+'Exhibit F'!H70+'Exhibit G State'!H50+'Exhibit H'!F37</f>
        <v>112.9</v>
      </c>
      <c r="H74" s="199"/>
      <c r="I74" s="199">
        <f>+'Exhibit F'!J70+'Exhibit G State'!J50+'Exhibit H'!H37</f>
        <v>83.100000000000009</v>
      </c>
      <c r="J74" s="199"/>
      <c r="K74" s="199">
        <f>+'Exhibit F'!L70+'Exhibit G State'!L50+'Exhibit H'!J37</f>
        <v>73.900000000000034</v>
      </c>
      <c r="L74" s="199"/>
      <c r="M74" s="199">
        <f>+'Exhibit F'!N70+'Exhibit G State'!N50+'Exhibit H'!L37</f>
        <v>118.4</v>
      </c>
      <c r="N74" s="199"/>
      <c r="O74" s="199">
        <f>+'Exhibit F'!P70+'Exhibit G State'!P50+'Exhibit H'!N37</f>
        <v>70.199999999999932</v>
      </c>
      <c r="P74" s="199"/>
      <c r="Q74" s="199">
        <f>+'Exhibit F'!R70+'Exhibit G State'!R50+'Exhibit H'!P37</f>
        <v>48.499999999999972</v>
      </c>
      <c r="R74" s="199"/>
      <c r="S74" s="199">
        <f>+'Exhibit F'!T70+'Exhibit G State'!T50+'Exhibit H'!R37</f>
        <v>123.6</v>
      </c>
      <c r="T74" s="199"/>
      <c r="U74" s="199">
        <f>+'Exhibit F'!V70+'Exhibit G State'!V50+'Exhibit H'!T37</f>
        <v>125.60000000000002</v>
      </c>
      <c r="V74" s="199"/>
      <c r="W74" s="199">
        <f>+'Exhibit F'!X70+'Exhibit G State'!X50+'Exhibit H'!V37</f>
        <v>45.700000000000045</v>
      </c>
      <c r="X74" s="199"/>
      <c r="Y74" s="199"/>
      <c r="Z74" s="199"/>
      <c r="AA74" s="200"/>
      <c r="AB74" s="199">
        <f t="shared" si="15"/>
        <v>911.4</v>
      </c>
      <c r="AC74" s="199"/>
      <c r="AD74" s="882"/>
      <c r="AE74" s="199">
        <f>+'Exhibit F'!AF70+'Exhibit G State'!AF50+'Exhibit H'!AD37</f>
        <v>884.69999999999993</v>
      </c>
      <c r="AF74" s="199"/>
      <c r="AG74" s="1622"/>
      <c r="AH74" s="199">
        <f t="shared" si="14"/>
        <v>26.7</v>
      </c>
      <c r="AI74" s="66"/>
      <c r="AJ74" s="293">
        <f>ROUND(SUM(AH74/AE74),3)</f>
        <v>0.03</v>
      </c>
    </row>
    <row r="75" spans="1:36" ht="15.5">
      <c r="A75" s="360" t="s">
        <v>403</v>
      </c>
      <c r="B75" s="66"/>
      <c r="C75" s="199">
        <f>+'Exhibit F'!D71+'Exhibit G State'!D51+'Exhibit H'!B38</f>
        <v>20.5</v>
      </c>
      <c r="D75" s="199"/>
      <c r="E75" s="199">
        <f>+'Exhibit F'!F71+'Exhibit G State'!F51+'Exhibit H'!D38</f>
        <v>12.100000000000003</v>
      </c>
      <c r="F75" s="199"/>
      <c r="G75" s="199">
        <f>+'Exhibit F'!H71+'Exhibit G State'!H51+'Exhibit H'!F38</f>
        <v>33.299999999999997</v>
      </c>
      <c r="H75" s="199"/>
      <c r="I75" s="199">
        <f>+'Exhibit F'!J71+'Exhibit G State'!J51+'Exhibit H'!H38</f>
        <v>21.9</v>
      </c>
      <c r="J75" s="199"/>
      <c r="K75" s="199">
        <f>+'Exhibit F'!L71+'Exhibit G State'!L51+'Exhibit H'!J38</f>
        <v>17.29999999999999</v>
      </c>
      <c r="L75" s="199"/>
      <c r="M75" s="199">
        <f>+'Exhibit F'!N71+'Exhibit G State'!N51+'Exhibit H'!L38</f>
        <v>28.200000000000017</v>
      </c>
      <c r="N75" s="199"/>
      <c r="O75" s="199">
        <f>+'Exhibit F'!P71+'Exhibit G State'!P51+'Exhibit H'!N38</f>
        <v>20.79999999999999</v>
      </c>
      <c r="P75" s="199"/>
      <c r="Q75" s="199">
        <f>+'Exhibit F'!R71+'Exhibit G State'!R51+'Exhibit H'!P38</f>
        <v>25.499999999999986</v>
      </c>
      <c r="R75" s="199"/>
      <c r="S75" s="199">
        <f>+'Exhibit F'!T71+'Exhibit G State'!T51+'Exhibit H'!R38</f>
        <v>7.3000000000000043</v>
      </c>
      <c r="T75" s="199"/>
      <c r="U75" s="199">
        <f>+'Exhibit F'!V71+'Exhibit G State'!V51+'Exhibit H'!T38</f>
        <v>57.900000000000013</v>
      </c>
      <c r="V75" s="199"/>
      <c r="W75" s="199">
        <f>+'Exhibit F'!X71+'Exhibit G State'!X51+'Exhibit H'!V38</f>
        <v>21.400000000000006</v>
      </c>
      <c r="X75" s="199"/>
      <c r="Y75" s="199"/>
      <c r="Z75" s="199"/>
      <c r="AA75" s="200"/>
      <c r="AB75" s="199">
        <f t="shared" si="15"/>
        <v>266.2</v>
      </c>
      <c r="AC75" s="199"/>
      <c r="AD75" s="882"/>
      <c r="AE75" s="199">
        <f>+'Exhibit F'!AF71+'Exhibit G State'!AF51+'Exhibit H'!AD38</f>
        <v>255</v>
      </c>
      <c r="AF75" s="199"/>
      <c r="AG75" s="1622"/>
      <c r="AH75" s="199">
        <f t="shared" si="14"/>
        <v>11.2</v>
      </c>
      <c r="AI75" s="66"/>
      <c r="AJ75" s="293">
        <f>ROUND(SUM(AH75/ABS(AE75)),3)</f>
        <v>4.3999999999999997E-2</v>
      </c>
    </row>
    <row r="76" spans="1:36" ht="15.5">
      <c r="A76" s="360" t="s">
        <v>404</v>
      </c>
      <c r="B76" s="66"/>
      <c r="C76" s="199">
        <f>+'Exhibit F'!D72+'Exhibit G State'!D52+'Exhibit H'!B39</f>
        <v>0.30000000000000004</v>
      </c>
      <c r="D76" s="199"/>
      <c r="E76" s="199">
        <f>+'Exhibit F'!F72+'Exhibit G State'!F52+'Exhibit H'!D39</f>
        <v>0.4</v>
      </c>
      <c r="F76" s="199"/>
      <c r="G76" s="199">
        <f>+'Exhibit F'!H72+'Exhibit G State'!H52+'Exhibit H'!F39</f>
        <v>0.70000000000000007</v>
      </c>
      <c r="H76" s="199"/>
      <c r="I76" s="199">
        <f>+'Exhibit F'!J72+'Exhibit G State'!J52+'Exhibit H'!H39</f>
        <v>0</v>
      </c>
      <c r="J76" s="199"/>
      <c r="K76" s="199">
        <f>+'Exhibit F'!L72+'Exhibit G State'!L52+'Exhibit H'!J39</f>
        <v>0.5</v>
      </c>
      <c r="L76" s="199"/>
      <c r="M76" s="199">
        <f>+'Exhibit F'!N72+'Exhibit G State'!N52+'Exhibit H'!L39</f>
        <v>0.70000000000000007</v>
      </c>
      <c r="N76" s="199"/>
      <c r="O76" s="199">
        <f>+'Exhibit F'!P72+'Exhibit G State'!P52+'Exhibit H'!N39</f>
        <v>0.3999999999999998</v>
      </c>
      <c r="P76" s="199"/>
      <c r="Q76" s="199">
        <f>+'Exhibit F'!R72+'Exhibit G State'!R52+'Exhibit H'!P39</f>
        <v>1.1000000000000001</v>
      </c>
      <c r="R76" s="199"/>
      <c r="S76" s="199">
        <f>+'Exhibit F'!T72+'Exhibit G State'!T52+'Exhibit H'!R39</f>
        <v>0.20000000000000018</v>
      </c>
      <c r="T76" s="199"/>
      <c r="U76" s="199">
        <f>+'Exhibit F'!V72+'Exhibit G State'!V52+'Exhibit H'!T39</f>
        <v>0.3999999999999998</v>
      </c>
      <c r="V76" s="199"/>
      <c r="W76" s="199">
        <f>+'Exhibit F'!X72+'Exhibit G State'!X52+'Exhibit H'!V39</f>
        <v>0.20000000000000007</v>
      </c>
      <c r="X76" s="199"/>
      <c r="Y76" s="199"/>
      <c r="Z76" s="199"/>
      <c r="AA76" s="200"/>
      <c r="AB76" s="199">
        <f t="shared" si="15"/>
        <v>4.9000000000000004</v>
      </c>
      <c r="AC76" s="199"/>
      <c r="AD76" s="882"/>
      <c r="AE76" s="199">
        <f>+'Exhibit F'!AF72+'Exhibit G State'!AF52+'Exhibit H'!AD39</f>
        <v>6.5</v>
      </c>
      <c r="AF76" s="199"/>
      <c r="AG76" s="1622"/>
      <c r="AH76" s="199">
        <f t="shared" si="14"/>
        <v>-1.6</v>
      </c>
      <c r="AI76" s="66"/>
      <c r="AJ76" s="293">
        <f>ROUND(SUM(AH76/ABS(AE76)),3)</f>
        <v>-0.246</v>
      </c>
    </row>
    <row r="77" spans="1:36" ht="15.5">
      <c r="A77" s="360" t="s">
        <v>405</v>
      </c>
      <c r="B77" s="66"/>
      <c r="C77" s="199">
        <f>+'Exhibit F'!D73+'Exhibit G State'!D53+'Exhibit H'!B40</f>
        <v>55.4</v>
      </c>
      <c r="D77" s="199"/>
      <c r="E77" s="199">
        <f>+'Exhibit F'!F73+'Exhibit G State'!F53+'Exhibit H'!D40</f>
        <v>73.2</v>
      </c>
      <c r="F77" s="199"/>
      <c r="G77" s="199">
        <f>+'Exhibit F'!H73+'Exhibit G State'!H53+'Exhibit H'!F40</f>
        <v>22.4</v>
      </c>
      <c r="H77" s="199"/>
      <c r="I77" s="199">
        <f>+'Exhibit F'!J73+'Exhibit G State'!J53+'Exhibit H'!H40</f>
        <v>79.999999999999972</v>
      </c>
      <c r="J77" s="199"/>
      <c r="K77" s="199">
        <f>+'Exhibit F'!L73+'Exhibit G State'!L53+'Exhibit H'!J40</f>
        <v>36.100000000000016</v>
      </c>
      <c r="L77" s="199"/>
      <c r="M77" s="199">
        <f>+'Exhibit F'!N73+'Exhibit G State'!N53+'Exhibit H'!L40</f>
        <v>28.800000000000011</v>
      </c>
      <c r="N77" s="199"/>
      <c r="O77" s="199">
        <f>+'Exhibit F'!P73+'Exhibit G State'!P53+'Exhibit H'!N40</f>
        <v>71.400000000000006</v>
      </c>
      <c r="P77" s="199"/>
      <c r="Q77" s="199">
        <f>+'Exhibit F'!R73+'Exhibit G State'!R53+'Exhibit H'!P40</f>
        <v>24.899999999999977</v>
      </c>
      <c r="R77" s="199"/>
      <c r="S77" s="199">
        <f>+'Exhibit F'!T73+'Exhibit G State'!T53+'Exhibit H'!R40</f>
        <v>42.599999999999994</v>
      </c>
      <c r="T77" s="199"/>
      <c r="U77" s="199">
        <f>+'Exhibit F'!V73+'Exhibit G State'!V53+'Exhibit H'!T40</f>
        <v>59.099999999999994</v>
      </c>
      <c r="V77" s="199"/>
      <c r="W77" s="199">
        <f>+'Exhibit F'!X73+'Exhibit G State'!X53+'Exhibit H'!V40</f>
        <v>21.100000000000051</v>
      </c>
      <c r="X77" s="199"/>
      <c r="Y77" s="199"/>
      <c r="Z77" s="199"/>
      <c r="AA77" s="200"/>
      <c r="AB77" s="199">
        <f t="shared" si="15"/>
        <v>515</v>
      </c>
      <c r="AC77" s="199"/>
      <c r="AD77" s="882"/>
      <c r="AE77" s="199">
        <f>+'Exhibit F'!AF73+'Exhibit G State'!AF53+'Exhibit H'!AD40</f>
        <v>479.8</v>
      </c>
      <c r="AF77" s="199"/>
      <c r="AG77" s="1622"/>
      <c r="AH77" s="199">
        <f t="shared" si="14"/>
        <v>35.200000000000003</v>
      </c>
      <c r="AI77" s="66"/>
      <c r="AJ77" s="276">
        <f>ROUND(IF(AE77=0,0,AH77/ABS(AE77)),3)</f>
        <v>7.2999999999999995E-2</v>
      </c>
    </row>
    <row r="78" spans="1:36" ht="15.5">
      <c r="A78" s="360" t="s">
        <v>406</v>
      </c>
      <c r="B78" s="66"/>
      <c r="C78" s="199">
        <f>+'Exhibit F'!D74+'Exhibit G State'!D54+'Exhibit H'!B41</f>
        <v>59.8</v>
      </c>
      <c r="D78" s="199"/>
      <c r="E78" s="199">
        <f>+'Exhibit F'!F74+'Exhibit G State'!F54+'Exhibit H'!D41</f>
        <v>47.199999999999996</v>
      </c>
      <c r="F78" s="199"/>
      <c r="G78" s="199">
        <f>+'Exhibit F'!H74+'Exhibit G State'!H54+'Exhibit H'!F41</f>
        <v>81.7</v>
      </c>
      <c r="H78" s="199"/>
      <c r="I78" s="199">
        <f>+'Exhibit F'!J74+'Exhibit G State'!J54+'Exhibit H'!H41</f>
        <v>53.399999999999977</v>
      </c>
      <c r="J78" s="199"/>
      <c r="K78" s="199">
        <f>+'Exhibit F'!L74+'Exhibit G State'!L54+'Exhibit H'!J41</f>
        <v>86.199999999999974</v>
      </c>
      <c r="L78" s="199"/>
      <c r="M78" s="199">
        <f>+'Exhibit F'!N74+'Exhibit G State'!N54+'Exhibit H'!L41</f>
        <v>153.80000000000001</v>
      </c>
      <c r="N78" s="199"/>
      <c r="O78" s="199">
        <f>+'Exhibit F'!P74+'Exhibit G State'!P54+'Exhibit H'!N41</f>
        <v>94.399999999999977</v>
      </c>
      <c r="P78" s="199"/>
      <c r="Q78" s="199">
        <f>+'Exhibit F'!R74+'Exhibit G State'!R54+'Exhibit H'!P41</f>
        <v>83.100000000000051</v>
      </c>
      <c r="R78" s="199"/>
      <c r="S78" s="199">
        <f>+'Exhibit F'!T74+'Exhibit G State'!T54+'Exhibit H'!R41</f>
        <v>34.899999999999977</v>
      </c>
      <c r="T78" s="199"/>
      <c r="U78" s="199">
        <f>+'Exhibit F'!V74+'Exhibit G State'!V54+'Exhibit H'!T41</f>
        <v>173.79999999999995</v>
      </c>
      <c r="V78" s="199"/>
      <c r="W78" s="199">
        <f>+'Exhibit F'!X74+'Exhibit G State'!X54+'Exhibit H'!V41</f>
        <v>129.10000000000008</v>
      </c>
      <c r="X78" s="199"/>
      <c r="Y78" s="199"/>
      <c r="Z78" s="199"/>
      <c r="AA78" s="200"/>
      <c r="AB78" s="199">
        <f t="shared" si="15"/>
        <v>997.4</v>
      </c>
      <c r="AC78" s="199"/>
      <c r="AD78" s="882"/>
      <c r="AE78" s="199">
        <f>+'Exhibit F'!AF74+'Exhibit G State'!AF54+'Exhibit H'!AD41</f>
        <v>1004.8000000000001</v>
      </c>
      <c r="AF78" s="199"/>
      <c r="AG78" s="1622"/>
      <c r="AH78" s="199">
        <f t="shared" si="14"/>
        <v>-7.4</v>
      </c>
      <c r="AI78" s="66"/>
      <c r="AJ78" s="293">
        <f>ROUND(SUM(AH78/ABS(AE78)),3)</f>
        <v>-7.0000000000000001E-3</v>
      </c>
    </row>
    <row r="79" spans="1:36" ht="15.5">
      <c r="A79" s="360" t="s">
        <v>407</v>
      </c>
      <c r="B79" s="66"/>
      <c r="C79" s="199">
        <f>+'Exhibit F'!D75+'Exhibit G State'!D55</f>
        <v>44.6</v>
      </c>
      <c r="D79" s="199"/>
      <c r="E79" s="199">
        <f>+'Exhibit F'!F75+'Exhibit G State'!F55</f>
        <v>38.799999999999997</v>
      </c>
      <c r="F79" s="199"/>
      <c r="G79" s="199">
        <f>+'Exhibit F'!H75+'Exhibit G State'!H55</f>
        <v>30.6</v>
      </c>
      <c r="H79" s="199"/>
      <c r="I79" s="199">
        <f>+'Exhibit F'!J75+'Exhibit G State'!J55</f>
        <v>11.700000000000005</v>
      </c>
      <c r="J79" s="199"/>
      <c r="K79" s="199">
        <f>+'Exhibit F'!L75+'Exhibit G State'!L55</f>
        <v>66.499999999999986</v>
      </c>
      <c r="L79" s="199"/>
      <c r="M79" s="199">
        <f>+'Exhibit F'!N75+'Exhibit G State'!N55</f>
        <v>41.40000000000002</v>
      </c>
      <c r="N79" s="199"/>
      <c r="O79" s="199">
        <f>+'Exhibit F'!P75+'Exhibit G State'!P55</f>
        <v>45.499999999999979</v>
      </c>
      <c r="P79" s="199"/>
      <c r="Q79" s="199">
        <f>+'Exhibit F'!R75+'Exhibit G State'!R55</f>
        <v>37.100000000000009</v>
      </c>
      <c r="R79" s="199"/>
      <c r="S79" s="199">
        <f>+'Exhibit F'!T75+'Exhibit G State'!T55</f>
        <v>26.999999999999986</v>
      </c>
      <c r="T79" s="199"/>
      <c r="U79" s="199">
        <f>+'Exhibit F'!V75+'Exhibit G State'!V55</f>
        <v>43.5</v>
      </c>
      <c r="V79" s="199"/>
      <c r="W79" s="199">
        <f>+'Exhibit F'!X75+'Exhibit G State'!X55</f>
        <v>19.599999999999994</v>
      </c>
      <c r="X79" s="199"/>
      <c r="Y79" s="199"/>
      <c r="Z79" s="199"/>
      <c r="AA79" s="200"/>
      <c r="AB79" s="199">
        <f t="shared" si="15"/>
        <v>406.3</v>
      </c>
      <c r="AC79" s="199"/>
      <c r="AD79" s="882"/>
      <c r="AE79" s="199">
        <f>+'Exhibit F'!AF75+'Exhibit G State'!AF55</f>
        <v>460.3</v>
      </c>
      <c r="AF79" s="199"/>
      <c r="AG79" s="1622"/>
      <c r="AH79" s="199">
        <f t="shared" si="14"/>
        <v>-54</v>
      </c>
      <c r="AI79" s="66"/>
      <c r="AJ79" s="293">
        <f>ROUND(SUM(AH79/ABS(AE79)),3)</f>
        <v>-0.11700000000000001</v>
      </c>
    </row>
    <row r="80" spans="1:36" ht="15.5">
      <c r="A80" s="360" t="s">
        <v>408</v>
      </c>
      <c r="B80" s="66"/>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200"/>
      <c r="AB80" s="199"/>
      <c r="AC80" s="199"/>
      <c r="AD80" s="882"/>
      <c r="AE80" s="199"/>
      <c r="AF80" s="199"/>
      <c r="AG80" s="1622"/>
      <c r="AH80" s="199"/>
      <c r="AI80" s="66"/>
      <c r="AJ80" s="293" t="s">
        <v>103</v>
      </c>
    </row>
    <row r="81" spans="1:36" ht="15.5">
      <c r="A81" s="360" t="s">
        <v>409</v>
      </c>
      <c r="B81" s="66"/>
      <c r="C81" s="199">
        <f>+'Exhibit G State'!D57</f>
        <v>42.2</v>
      </c>
      <c r="D81" s="199"/>
      <c r="E81" s="199">
        <f>+'Exhibit G State'!F57</f>
        <v>16.299999999999997</v>
      </c>
      <c r="F81" s="199"/>
      <c r="G81" s="199">
        <f>+'Exhibit G State'!H57</f>
        <v>13</v>
      </c>
      <c r="H81" s="199"/>
      <c r="I81" s="199">
        <f>+'Exhibit G State'!J57</f>
        <v>38.900000000000006</v>
      </c>
      <c r="J81" s="199"/>
      <c r="K81" s="199">
        <f>+'Exhibit G State'!L57</f>
        <v>14</v>
      </c>
      <c r="L81" s="199"/>
      <c r="M81" s="199">
        <f>+'Exhibit G State'!N57</f>
        <v>13.199999999999989</v>
      </c>
      <c r="N81" s="199"/>
      <c r="O81" s="199">
        <f>+'Exhibit G State'!P57</f>
        <v>43.200000000000017</v>
      </c>
      <c r="P81" s="199"/>
      <c r="Q81" s="199">
        <f>+'Exhibit G State'!R57</f>
        <v>12.699999999999989</v>
      </c>
      <c r="R81" s="199"/>
      <c r="S81" s="199">
        <f>+'Exhibit G State'!T57</f>
        <v>13.5</v>
      </c>
      <c r="T81" s="199"/>
      <c r="U81" s="199">
        <f>+'Exhibit G State'!V57</f>
        <v>38.800000000000011</v>
      </c>
      <c r="V81" s="199"/>
      <c r="W81" s="199">
        <f>+'Exhibit G State'!X57</f>
        <v>12.199999999999989</v>
      </c>
      <c r="X81" s="199"/>
      <c r="Y81" s="199"/>
      <c r="Z81" s="199"/>
      <c r="AA81" s="200"/>
      <c r="AB81" s="199">
        <f t="shared" ref="AB81:AB86" si="16">ROUND(SUM(C81:Y81),1)</f>
        <v>258</v>
      </c>
      <c r="AC81" s="199"/>
      <c r="AD81" s="882"/>
      <c r="AE81" s="274">
        <f>+'Exhibit G State'!AF57</f>
        <v>343.9</v>
      </c>
      <c r="AF81" s="199"/>
      <c r="AG81" s="1622"/>
      <c r="AH81" s="199">
        <f t="shared" si="14"/>
        <v>-85.9</v>
      </c>
      <c r="AI81" s="66"/>
      <c r="AJ81" s="276">
        <f>ROUND(IF(AE81=0,1,AH81/ABS(AE81)),3)</f>
        <v>-0.25</v>
      </c>
    </row>
    <row r="82" spans="1:36" ht="15.5">
      <c r="A82" s="360" t="s">
        <v>410</v>
      </c>
      <c r="B82" s="66"/>
      <c r="C82" s="199">
        <f>+'Exhibit G State'!D58</f>
        <v>205.3</v>
      </c>
      <c r="D82" s="199"/>
      <c r="E82" s="199">
        <f>+'Exhibit G State'!F58</f>
        <v>227.2</v>
      </c>
      <c r="F82" s="199"/>
      <c r="G82" s="199">
        <f>+'Exhibit G State'!H58</f>
        <v>179.20000000000005</v>
      </c>
      <c r="H82" s="199"/>
      <c r="I82" s="199">
        <f>+'Exhibit G State'!J58</f>
        <v>217.8</v>
      </c>
      <c r="J82" s="199"/>
      <c r="K82" s="199">
        <f>+'Exhibit G State'!L58</f>
        <v>177.39999999999981</v>
      </c>
      <c r="L82" s="199"/>
      <c r="M82" s="199">
        <f>+'Exhibit G State'!N58</f>
        <v>183.70000000000005</v>
      </c>
      <c r="N82" s="199"/>
      <c r="O82" s="199">
        <f>+'Exhibit G State'!P58</f>
        <v>218.30000000000018</v>
      </c>
      <c r="P82" s="199"/>
      <c r="Q82" s="199">
        <f>+'Exhibit G State'!R58</f>
        <v>175.59999999999991</v>
      </c>
      <c r="R82" s="199"/>
      <c r="S82" s="199">
        <f>+'Exhibit G State'!T58</f>
        <v>184.90000000000009</v>
      </c>
      <c r="T82" s="199"/>
      <c r="U82" s="199">
        <f>+'Exhibit G State'!V58</f>
        <v>232.89999999999986</v>
      </c>
      <c r="V82" s="199"/>
      <c r="W82" s="199">
        <f>+'Exhibit G State'!X58</f>
        <v>172.29999999999995</v>
      </c>
      <c r="X82" s="199"/>
      <c r="Y82" s="199"/>
      <c r="Z82" s="199"/>
      <c r="AA82" s="200"/>
      <c r="AB82" s="199">
        <f t="shared" si="16"/>
        <v>2174.6</v>
      </c>
      <c r="AC82" s="199"/>
      <c r="AD82" s="882"/>
      <c r="AE82" s="199">
        <f>+'Exhibit G State'!AF58</f>
        <v>2276.4</v>
      </c>
      <c r="AF82" s="199"/>
      <c r="AG82" s="1622"/>
      <c r="AH82" s="199">
        <f t="shared" ref="AH82:AH83" si="17">ROUND(SUM(AB82-AE82),1)</f>
        <v>-101.8</v>
      </c>
      <c r="AI82" s="66"/>
      <c r="AJ82" s="276">
        <f t="shared" ref="AJ82:AJ83" si="18">ROUND(IF(AE82=0,1,AH82/ABS(AE82)),3)</f>
        <v>-4.4999999999999998E-2</v>
      </c>
    </row>
    <row r="83" spans="1:36" ht="15.5">
      <c r="A83" s="360" t="s">
        <v>411</v>
      </c>
      <c r="B83" s="66"/>
      <c r="C83" s="199">
        <f>+'Exhibit G State'!D59+'Exhibit F'!D77</f>
        <v>92.3</v>
      </c>
      <c r="D83" s="199"/>
      <c r="E83" s="199">
        <f>+'Exhibit G State'!F59+'Exhibit F'!F77</f>
        <v>104.7</v>
      </c>
      <c r="F83" s="199"/>
      <c r="G83" s="199">
        <f>+'Exhibit G State'!H59+'Exhibit F'!H77</f>
        <v>69.199999999999974</v>
      </c>
      <c r="H83" s="199"/>
      <c r="I83" s="199">
        <f>+'Exhibit G State'!J59+'Exhibit F'!J77</f>
        <v>81.000000000000014</v>
      </c>
      <c r="J83" s="199"/>
      <c r="K83" s="199">
        <f>+'Exhibit G State'!L59+'Exhibit F'!L77</f>
        <v>56.499999999999986</v>
      </c>
      <c r="L83" s="199"/>
      <c r="M83" s="199">
        <f>+'Exhibit G State'!N59+'Exhibit F'!N77</f>
        <v>89.400000000000048</v>
      </c>
      <c r="N83" s="199"/>
      <c r="O83" s="199">
        <f>+'Exhibit G State'!P59+'Exhibit F'!P77</f>
        <v>98.699999999999932</v>
      </c>
      <c r="P83" s="199"/>
      <c r="Q83" s="199">
        <f>+'Exhibit G State'!R59+'Exhibit F'!R77</f>
        <v>108.60000000000002</v>
      </c>
      <c r="R83" s="199"/>
      <c r="S83" s="199">
        <f>+'Exhibit G State'!T59+'Exhibit F'!T77</f>
        <v>95</v>
      </c>
      <c r="T83" s="199"/>
      <c r="U83" s="199">
        <f>+'Exhibit G State'!V59+'Exhibit F'!V77</f>
        <v>140.89999999999998</v>
      </c>
      <c r="V83" s="199"/>
      <c r="W83" s="199">
        <f>+'Exhibit G State'!X59+'Exhibit F'!X77</f>
        <v>101.60000000000014</v>
      </c>
      <c r="X83" s="199"/>
      <c r="Y83" s="199"/>
      <c r="Z83" s="199"/>
      <c r="AA83" s="200"/>
      <c r="AB83" s="199">
        <f t="shared" si="16"/>
        <v>1037.9000000000001</v>
      </c>
      <c r="AC83" s="199"/>
      <c r="AD83" s="882"/>
      <c r="AE83" s="199">
        <f>+'Exhibit G State'!AF59+'Exhibit F'!AF77</f>
        <v>823.8</v>
      </c>
      <c r="AF83" s="199"/>
      <c r="AG83" s="1622"/>
      <c r="AH83" s="199">
        <f t="shared" si="17"/>
        <v>214.1</v>
      </c>
      <c r="AI83" s="66"/>
      <c r="AJ83" s="276">
        <f t="shared" si="18"/>
        <v>0.26</v>
      </c>
    </row>
    <row r="84" spans="1:36" ht="15.5">
      <c r="A84" s="360" t="s">
        <v>412</v>
      </c>
      <c r="B84" s="66"/>
      <c r="C84" s="199">
        <f>+'Exhibit G State'!D60</f>
        <v>81.099999999999994</v>
      </c>
      <c r="D84" s="199"/>
      <c r="E84" s="199">
        <f>+'Exhibit G State'!F60</f>
        <v>94.200000000000017</v>
      </c>
      <c r="F84" s="199"/>
      <c r="G84" s="199">
        <f>+'Exhibit G State'!H60</f>
        <v>76.899999999999977</v>
      </c>
      <c r="H84" s="199"/>
      <c r="I84" s="199">
        <f>+'Exhibit G State'!J60</f>
        <v>108.10000000000005</v>
      </c>
      <c r="J84" s="199"/>
      <c r="K84" s="199">
        <f>+'Exhibit G State'!L60</f>
        <v>85.699999999999903</v>
      </c>
      <c r="L84" s="199"/>
      <c r="M84" s="199">
        <f>+'Exhibit G State'!N60</f>
        <v>85.899999999999977</v>
      </c>
      <c r="N84" s="199"/>
      <c r="O84" s="199">
        <f>+'Exhibit G State'!P60</f>
        <v>106.60000000000002</v>
      </c>
      <c r="P84" s="199"/>
      <c r="Q84" s="199">
        <f>+'Exhibit G State'!R60</f>
        <v>83.799999999999955</v>
      </c>
      <c r="R84" s="199"/>
      <c r="S84" s="199">
        <f>+'Exhibit G State'!T60</f>
        <v>80</v>
      </c>
      <c r="T84" s="199"/>
      <c r="U84" s="199">
        <f>+'Exhibit G State'!V60</f>
        <v>107.20000000000005</v>
      </c>
      <c r="V84" s="199"/>
      <c r="W84" s="199">
        <f>+'Exhibit G State'!X60</f>
        <v>83.200000000000045</v>
      </c>
      <c r="X84" s="199"/>
      <c r="Y84" s="199"/>
      <c r="Z84" s="199"/>
      <c r="AA84" s="200"/>
      <c r="AB84" s="199">
        <f t="shared" si="16"/>
        <v>992.7</v>
      </c>
      <c r="AC84" s="199"/>
      <c r="AD84" s="882"/>
      <c r="AE84" s="274">
        <f>+'Exhibit G State'!AF60</f>
        <v>957.8</v>
      </c>
      <c r="AF84" s="199"/>
      <c r="AG84" s="1622"/>
      <c r="AH84" s="199">
        <f t="shared" si="14"/>
        <v>34.9</v>
      </c>
      <c r="AI84" s="66"/>
      <c r="AJ84" s="553">
        <f>ROUND(IF(AE84=0,1,AH84/ABS(AE84)),3)</f>
        <v>3.5999999999999997E-2</v>
      </c>
    </row>
    <row r="85" spans="1:36" ht="15.5">
      <c r="A85" s="360" t="s">
        <v>413</v>
      </c>
      <c r="B85" s="66"/>
      <c r="C85" s="199">
        <f>+'Exhibit F'!D78+'Exhibit H'!B42+'Exhibit G State'!D61</f>
        <v>308.60000000000002</v>
      </c>
      <c r="D85" s="199"/>
      <c r="E85" s="199">
        <f>+'Exhibit F'!F78+'Exhibit H'!D42+'Exhibit G State'!F61</f>
        <v>280.70000000000005</v>
      </c>
      <c r="F85" s="199"/>
      <c r="G85" s="199">
        <f>+'Exhibit F'!H78+'Exhibit H'!F42+'Exhibit G State'!H61</f>
        <v>304.49999999999989</v>
      </c>
      <c r="H85" s="199"/>
      <c r="I85" s="199">
        <f>+'Exhibit F'!J78+'Exhibit H'!H42+'Exhibit G State'!J61</f>
        <v>284.8</v>
      </c>
      <c r="J85" s="199"/>
      <c r="K85" s="199">
        <f>+'Exhibit F'!L78+'Exhibit H'!J42+'Exhibit G State'!L61</f>
        <v>306.9000000000002</v>
      </c>
      <c r="L85" s="199"/>
      <c r="M85" s="199">
        <f>+'Exhibit F'!N78+'Exhibit H'!L42+'Exhibit G State'!N61</f>
        <v>294.79999999999995</v>
      </c>
      <c r="N85" s="199"/>
      <c r="O85" s="199">
        <f>+'Exhibit F'!P78+'Exhibit H'!N42+'Exhibit G State'!P61</f>
        <v>290.8</v>
      </c>
      <c r="P85" s="199"/>
      <c r="Q85" s="199">
        <f>+'Exhibit F'!R78+'Exhibit H'!P42+'Exhibit G State'!R61</f>
        <v>269.00000000000011</v>
      </c>
      <c r="R85" s="199"/>
      <c r="S85" s="199">
        <f>+'Exhibit F'!T78+'Exhibit H'!R42+'Exhibit G State'!T61</f>
        <v>237.69999999999982</v>
      </c>
      <c r="T85" s="199"/>
      <c r="U85" s="199">
        <f>+'Exhibit F'!V78+'Exhibit H'!T42+'Exhibit G State'!V61</f>
        <v>254.89999999999998</v>
      </c>
      <c r="V85" s="199"/>
      <c r="W85" s="199">
        <f>+'Exhibit F'!X78+'Exhibit H'!V42+'Exhibit G State'!X61</f>
        <v>271.99999999999989</v>
      </c>
      <c r="X85" s="199"/>
      <c r="Y85" s="199"/>
      <c r="Z85" s="199"/>
      <c r="AA85" s="200"/>
      <c r="AB85" s="199">
        <f t="shared" si="16"/>
        <v>3104.7</v>
      </c>
      <c r="AC85" s="199"/>
      <c r="AD85" s="882"/>
      <c r="AE85" s="274">
        <f>+'Exhibit F'!AF78+'Exhibit H'!AD42+'Exhibit G State'!AF61</f>
        <v>2979.1</v>
      </c>
      <c r="AF85" s="199"/>
      <c r="AG85" s="1622"/>
      <c r="AH85" s="199">
        <f t="shared" si="14"/>
        <v>125.6</v>
      </c>
      <c r="AI85" s="66"/>
      <c r="AJ85" s="621">
        <f>ROUND(SUM(AH85/ABS(AE85)),3)</f>
        <v>4.2000000000000003E-2</v>
      </c>
    </row>
    <row r="86" spans="1:36" ht="15.5">
      <c r="A86" s="360" t="s">
        <v>414</v>
      </c>
      <c r="B86" s="66"/>
      <c r="C86" s="199">
        <f>+'Exhibit F'!D79+'Exhibit H'!B43+'Exhibit G State'!D62</f>
        <v>6.6</v>
      </c>
      <c r="D86" s="199"/>
      <c r="E86" s="199">
        <f>+'Exhibit F'!F79+'Exhibit H'!D43+'Exhibit G State'!F62</f>
        <v>1.6000000000000005</v>
      </c>
      <c r="F86" s="199"/>
      <c r="G86" s="199">
        <f>+'Exhibit F'!H79+'Exhibit H'!F43+'Exhibit G State'!H62</f>
        <v>5.4</v>
      </c>
      <c r="H86" s="199"/>
      <c r="I86" s="199">
        <f>+'Exhibit F'!J79+'Exhibit H'!H43+'Exhibit G State'!J62</f>
        <v>2.9000000000000012</v>
      </c>
      <c r="J86" s="199"/>
      <c r="K86" s="199">
        <f>+'Exhibit F'!L79+'Exhibit H'!J43+'Exhibit G State'!L62</f>
        <v>0.80000000000000071</v>
      </c>
      <c r="L86" s="199"/>
      <c r="M86" s="199">
        <f>+'Exhibit F'!N79+'Exhibit H'!L43+'Exhibit G State'!N62</f>
        <v>5.0000000000000009</v>
      </c>
      <c r="N86" s="199"/>
      <c r="O86" s="199">
        <f>+'Exhibit F'!P79+'Exhibit H'!N43+'Exhibit G State'!P62</f>
        <v>2.8999999999999972</v>
      </c>
      <c r="P86" s="199"/>
      <c r="Q86" s="199">
        <f>+'Exhibit F'!R79+'Exhibit H'!P43+'Exhibit G State'!R62</f>
        <v>1</v>
      </c>
      <c r="R86" s="199"/>
      <c r="S86" s="199">
        <f>+'Exhibit F'!T79+'Exhibit H'!R43+'Exhibit G State'!T62</f>
        <v>5.2000000000000028</v>
      </c>
      <c r="T86" s="199"/>
      <c r="U86" s="199">
        <f>+'Exhibit F'!V79+'Exhibit H'!T43+'Exhibit G State'!V62</f>
        <v>2.3999999999999986</v>
      </c>
      <c r="V86" s="199"/>
      <c r="W86" s="199">
        <f>+'Exhibit F'!X79+'Exhibit H'!V43+'Exhibit G State'!X62</f>
        <v>1</v>
      </c>
      <c r="X86" s="199"/>
      <c r="Y86" s="199"/>
      <c r="Z86" s="199"/>
      <c r="AA86" s="200"/>
      <c r="AB86" s="199">
        <f t="shared" si="16"/>
        <v>34.799999999999997</v>
      </c>
      <c r="AC86" s="199"/>
      <c r="AD86" s="882"/>
      <c r="AE86" s="199">
        <f>+'Exhibit F'!AF79+'Exhibit H'!AD43+'Exhibit G State'!AF62</f>
        <v>188</v>
      </c>
      <c r="AF86" s="199"/>
      <c r="AG86" s="1622"/>
      <c r="AH86" s="199">
        <f>ROUND(SUM(AB86-AE86),1)</f>
        <v>-153.19999999999999</v>
      </c>
      <c r="AI86" s="66"/>
      <c r="AJ86" s="621">
        <f>ROUND(SUM(AH86/ABS(AE86)),3)</f>
        <v>-0.81499999999999995</v>
      </c>
    </row>
    <row r="87" spans="1:36" ht="15.5">
      <c r="A87" s="360" t="s">
        <v>415</v>
      </c>
      <c r="B87" s="66"/>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c r="AA87" s="200"/>
      <c r="AB87" s="199"/>
      <c r="AC87" s="199"/>
      <c r="AD87" s="882"/>
      <c r="AE87" s="199"/>
      <c r="AF87" s="199"/>
      <c r="AG87" s="1622"/>
      <c r="AH87" s="199"/>
      <c r="AI87" s="66"/>
      <c r="AJ87" s="276"/>
    </row>
    <row r="88" spans="1:36" ht="15.5">
      <c r="A88" s="360" t="s">
        <v>416</v>
      </c>
      <c r="B88" s="66"/>
      <c r="C88" s="199">
        <f>+'Exhibit G State'!D64</f>
        <v>0</v>
      </c>
      <c r="D88" s="199"/>
      <c r="E88" s="199">
        <f>+'Exhibit G State'!F64</f>
        <v>0</v>
      </c>
      <c r="F88" s="199"/>
      <c r="G88" s="199">
        <f>+'Exhibit G State'!H64</f>
        <v>0</v>
      </c>
      <c r="H88" s="199"/>
      <c r="I88" s="199">
        <f>+'Exhibit G State'!J64</f>
        <v>0</v>
      </c>
      <c r="J88" s="199"/>
      <c r="K88" s="199">
        <f>+'Exhibit G State'!L64</f>
        <v>0</v>
      </c>
      <c r="L88" s="199"/>
      <c r="M88" s="199">
        <f>+'Exhibit G State'!N64</f>
        <v>0</v>
      </c>
      <c r="N88" s="199"/>
      <c r="O88" s="199">
        <f>+'Exhibit G State'!P64</f>
        <v>0</v>
      </c>
      <c r="P88" s="199"/>
      <c r="Q88" s="199">
        <f>+'Exhibit G State'!R64</f>
        <v>0</v>
      </c>
      <c r="R88" s="199"/>
      <c r="S88" s="199">
        <f>+'Exhibit G State'!T64</f>
        <v>0</v>
      </c>
      <c r="T88" s="199"/>
      <c r="U88" s="199">
        <f>+'Exhibit G State'!V64</f>
        <v>0</v>
      </c>
      <c r="V88" s="199"/>
      <c r="W88" s="199">
        <f>+'Exhibit G State'!X64</f>
        <v>0</v>
      </c>
      <c r="X88" s="199"/>
      <c r="Y88" s="199"/>
      <c r="Z88" s="199"/>
      <c r="AA88" s="200"/>
      <c r="AB88" s="199">
        <f t="shared" ref="AB88:AB92" si="19">ROUND(SUM(C88:Y88),1)</f>
        <v>0</v>
      </c>
      <c r="AC88" s="199"/>
      <c r="AD88" s="882"/>
      <c r="AE88" s="199">
        <f>+'Exhibit G State'!AF64+'Exhibit H'!AD45+'Exhibit F'!AF81</f>
        <v>0</v>
      </c>
      <c r="AF88" s="199"/>
      <c r="AG88" s="1622"/>
      <c r="AH88" s="199">
        <f t="shared" si="14"/>
        <v>0</v>
      </c>
      <c r="AI88" s="66"/>
      <c r="AJ88" s="276">
        <f>ROUND(IF(AE88=0,0,AH88/ABS(AE88)),3)</f>
        <v>0</v>
      </c>
    </row>
    <row r="89" spans="1:36" ht="15.5">
      <c r="A89" s="360" t="s">
        <v>417</v>
      </c>
      <c r="B89" s="66"/>
      <c r="C89" s="199">
        <f>+'Exhibit F'!D82+'Exhibit G State'!D65</f>
        <v>0.30000000000000004</v>
      </c>
      <c r="D89" s="199"/>
      <c r="E89" s="199">
        <f>+'Exhibit F'!F82+'Exhibit G State'!F65</f>
        <v>7.8999999999999995</v>
      </c>
      <c r="F89" s="199"/>
      <c r="G89" s="199">
        <f>+'Exhibit F'!H82+'Exhibit G State'!H65</f>
        <v>0</v>
      </c>
      <c r="H89" s="199"/>
      <c r="I89" s="199">
        <f>+'Exhibit F'!J82+'Exhibit G State'!J65</f>
        <v>0</v>
      </c>
      <c r="J89" s="199"/>
      <c r="K89" s="199">
        <f>+'Exhibit F'!L82+'Exhibit G State'!L65</f>
        <v>0</v>
      </c>
      <c r="L89" s="199"/>
      <c r="M89" s="199">
        <f>+'Exhibit F'!N82+'Exhibit G State'!N65</f>
        <v>8.9000000000000021</v>
      </c>
      <c r="N89" s="199"/>
      <c r="O89" s="199">
        <f>+'Exhibit F'!P82+'Exhibit G State'!P65</f>
        <v>0</v>
      </c>
      <c r="P89" s="199"/>
      <c r="Q89" s="199">
        <f>+'Exhibit F'!R82+'Exhibit G State'!R65</f>
        <v>0</v>
      </c>
      <c r="R89" s="199"/>
      <c r="S89" s="199">
        <f>+'Exhibit F'!T82+'Exhibit G State'!T65</f>
        <v>20.499999999999996</v>
      </c>
      <c r="T89" s="199"/>
      <c r="U89" s="199">
        <f>+'Exhibit F'!V82+'Exhibit G State'!V65</f>
        <v>0.19999999999999929</v>
      </c>
      <c r="V89" s="199"/>
      <c r="W89" s="199">
        <f>+'Exhibit F'!X82+'Exhibit G State'!X65</f>
        <v>0</v>
      </c>
      <c r="X89" s="199"/>
      <c r="Y89" s="199"/>
      <c r="Z89" s="199"/>
      <c r="AA89" s="200"/>
      <c r="AB89" s="199">
        <f t="shared" si="19"/>
        <v>37.799999999999997</v>
      </c>
      <c r="AC89" s="199"/>
      <c r="AD89" s="882"/>
      <c r="AE89" s="199">
        <f>+'Exhibit F'!AF82+'Exhibit G State'!AF65</f>
        <v>23.299999999999997</v>
      </c>
      <c r="AF89" s="199"/>
      <c r="AG89" s="1622"/>
      <c r="AH89" s="199">
        <f t="shared" si="14"/>
        <v>14.5</v>
      </c>
      <c r="AI89" s="66"/>
      <c r="AJ89" s="621">
        <f>ROUND(IF(AE89=0,1,AH89/ABS(AE89)),3)</f>
        <v>0.622</v>
      </c>
    </row>
    <row r="90" spans="1:36" ht="15.5">
      <c r="A90" s="360" t="s">
        <v>418</v>
      </c>
      <c r="B90" s="66"/>
      <c r="C90" s="199">
        <f>+'Exhibit F'!D83+'Exhibit G State'!D66</f>
        <v>3.4</v>
      </c>
      <c r="D90" s="199"/>
      <c r="E90" s="199">
        <f>+'Exhibit F'!F83+'Exhibit G State'!F66</f>
        <v>3.4</v>
      </c>
      <c r="F90" s="199"/>
      <c r="G90" s="199">
        <f>+'Exhibit F'!H83+'Exhibit G State'!H66</f>
        <v>-0.69999999999999951</v>
      </c>
      <c r="H90" s="199"/>
      <c r="I90" s="199">
        <f>+'Exhibit F'!J83+'Exhibit G State'!J66</f>
        <v>5.8999999999999995</v>
      </c>
      <c r="J90" s="199"/>
      <c r="K90" s="199">
        <f>+'Exhibit F'!L83+'Exhibit G State'!L66</f>
        <v>0.10000000000000053</v>
      </c>
      <c r="L90" s="199"/>
      <c r="M90" s="199">
        <f>+'Exhibit F'!N83+'Exhibit G State'!N66</f>
        <v>1.1999999999999993</v>
      </c>
      <c r="N90" s="199"/>
      <c r="O90" s="199">
        <f>+'Exhibit F'!P83+'Exhibit G State'!P66</f>
        <v>2.5</v>
      </c>
      <c r="P90" s="199"/>
      <c r="Q90" s="199">
        <f>+'Exhibit F'!R83+'Exhibit G State'!R66</f>
        <v>9.9999999999999645E-2</v>
      </c>
      <c r="R90" s="199"/>
      <c r="S90" s="199">
        <f>+'Exhibit F'!T83+'Exhibit G State'!T66</f>
        <v>4.3000000000000007</v>
      </c>
      <c r="T90" s="199"/>
      <c r="U90" s="199">
        <f>+'Exhibit F'!V83+'Exhibit G State'!V66</f>
        <v>1.1999999999999993</v>
      </c>
      <c r="V90" s="199"/>
      <c r="W90" s="199">
        <f>+'Exhibit F'!X83+'Exhibit G State'!X66</f>
        <v>0</v>
      </c>
      <c r="X90" s="199"/>
      <c r="Y90" s="199"/>
      <c r="Z90" s="199"/>
      <c r="AA90" s="200"/>
      <c r="AB90" s="199">
        <f t="shared" si="19"/>
        <v>21.4</v>
      </c>
      <c r="AC90" s="199"/>
      <c r="AD90" s="882"/>
      <c r="AE90" s="199">
        <f>+'Exhibit F'!AF83+'Exhibit G State'!AF66</f>
        <v>53.2</v>
      </c>
      <c r="AF90" s="199"/>
      <c r="AG90" s="1622"/>
      <c r="AH90" s="199">
        <f t="shared" si="14"/>
        <v>-31.8</v>
      </c>
      <c r="AI90" s="66"/>
      <c r="AJ90" s="621">
        <f>ROUND(SUM(AH90/ABS(AE90)),3)</f>
        <v>-0.59799999999999998</v>
      </c>
    </row>
    <row r="91" spans="1:36" ht="15.5">
      <c r="A91" s="360" t="s">
        <v>419</v>
      </c>
      <c r="B91" s="66"/>
      <c r="C91" s="199">
        <f>+'Exhibit F'!D84+'Exhibit G State'!D67</f>
        <v>4.5999999999999996</v>
      </c>
      <c r="D91" s="199"/>
      <c r="E91" s="199">
        <f>+'Exhibit F'!F84+'Exhibit G State'!F67</f>
        <v>0.30000000000000071</v>
      </c>
      <c r="F91" s="199"/>
      <c r="G91" s="199">
        <f>+'Exhibit F'!H84+'Exhibit G State'!H67</f>
        <v>3.9000000000000004</v>
      </c>
      <c r="H91" s="199"/>
      <c r="I91" s="199">
        <f>+'Exhibit F'!J84+'Exhibit G State'!J67</f>
        <v>8.5999999999999979</v>
      </c>
      <c r="J91" s="199"/>
      <c r="K91" s="199">
        <f>+'Exhibit F'!L84+'Exhibit G State'!L67</f>
        <v>6.4999999999999982</v>
      </c>
      <c r="L91" s="199"/>
      <c r="M91" s="199">
        <f>+'Exhibit F'!N84+'Exhibit G State'!N67</f>
        <v>4.4999999999999982</v>
      </c>
      <c r="N91" s="199"/>
      <c r="O91" s="199">
        <f>+'Exhibit F'!P84+'Exhibit G State'!P67</f>
        <v>4.8999999999999986</v>
      </c>
      <c r="P91" s="199"/>
      <c r="Q91" s="199">
        <f>+'Exhibit F'!R84+'Exhibit G State'!R67</f>
        <v>4.3999999999999986</v>
      </c>
      <c r="R91" s="199"/>
      <c r="S91" s="199">
        <f>+'Exhibit F'!T84+'Exhibit G State'!T67</f>
        <v>9.2000000000000046</v>
      </c>
      <c r="T91" s="199"/>
      <c r="U91" s="199">
        <f>+'Exhibit F'!V84+'Exhibit G State'!V67</f>
        <v>8.2999999999999972</v>
      </c>
      <c r="V91" s="199"/>
      <c r="W91" s="199">
        <f>+'Exhibit F'!X84+'Exhibit G State'!X67</f>
        <v>4</v>
      </c>
      <c r="X91" s="199"/>
      <c r="Y91" s="199"/>
      <c r="Z91" s="199"/>
      <c r="AA91" s="200"/>
      <c r="AB91" s="199">
        <f t="shared" si="19"/>
        <v>59.2</v>
      </c>
      <c r="AC91" s="199"/>
      <c r="AD91" s="882"/>
      <c r="AE91" s="199">
        <f>+'Exhibit F'!AF84+'Exhibit G State'!AF67</f>
        <v>69.7</v>
      </c>
      <c r="AF91" s="199"/>
      <c r="AG91" s="1622"/>
      <c r="AH91" s="199">
        <f t="shared" si="14"/>
        <v>-10.5</v>
      </c>
      <c r="AI91" s="66"/>
      <c r="AJ91" s="621">
        <f>ROUND(SUM(AH91/ABS(AE91)),3)</f>
        <v>-0.151</v>
      </c>
    </row>
    <row r="92" spans="1:36" ht="15.5">
      <c r="A92" s="360" t="s">
        <v>420</v>
      </c>
      <c r="B92" s="66"/>
      <c r="C92" s="199">
        <f>+'Exhibit F'!D85+'Exhibit H'!B46+'Exhibit G State'!D68</f>
        <v>46.7</v>
      </c>
      <c r="D92" s="199"/>
      <c r="E92" s="199">
        <f>+'Exhibit F'!F85+'Exhibit H'!D46+'Exhibit G State'!F68</f>
        <v>26.000000000000004</v>
      </c>
      <c r="F92" s="199"/>
      <c r="G92" s="199">
        <f>+'Exhibit F'!H85+'Exhibit H'!F46+'Exhibit G State'!H68</f>
        <v>6.2999999999999918</v>
      </c>
      <c r="H92" s="199"/>
      <c r="I92" s="199">
        <f>+'Exhibit F'!J85+'Exhibit H'!H46+'Exhibit G State'!J68</f>
        <v>1.1000000000000059</v>
      </c>
      <c r="J92" s="199"/>
      <c r="K92" s="199">
        <f>+'Exhibit F'!L85+'Exhibit H'!J46+'Exhibit G State'!L68</f>
        <v>0.79999999999999427</v>
      </c>
      <c r="L92" s="199"/>
      <c r="M92" s="199">
        <f>+'Exhibit F'!N85+'Exhibit H'!L46+'Exhibit G State'!N68</f>
        <v>-0.19999999999999729</v>
      </c>
      <c r="N92" s="199"/>
      <c r="O92" s="199">
        <f>+'Exhibit F'!P85+'Exhibit H'!N46+'Exhibit G State'!P68</f>
        <v>1.6999999999999944</v>
      </c>
      <c r="P92" s="199"/>
      <c r="Q92" s="199">
        <f>+'Exhibit F'!R85+'Exhibit H'!P46+'Exhibit G State'!R68</f>
        <v>109.4</v>
      </c>
      <c r="R92" s="199"/>
      <c r="S92" s="199">
        <f>+'Exhibit F'!T85+'Exhibit H'!R46+'Exhibit G State'!T68</f>
        <v>18.999999999999989</v>
      </c>
      <c r="T92" s="199"/>
      <c r="U92" s="199">
        <f>+'Exhibit F'!V85+'Exhibit H'!T46+'Exhibit G State'!V68</f>
        <v>42.900000000000013</v>
      </c>
      <c r="V92" s="199"/>
      <c r="W92" s="199">
        <f>+'Exhibit F'!X85+'Exhibit H'!V46+'Exhibit G State'!X68</f>
        <v>120.69999999999999</v>
      </c>
      <c r="X92" s="199"/>
      <c r="Y92" s="199"/>
      <c r="Z92" s="199"/>
      <c r="AA92" s="200"/>
      <c r="AB92" s="199">
        <f t="shared" si="19"/>
        <v>374.4</v>
      </c>
      <c r="AC92" s="199"/>
      <c r="AD92" s="882"/>
      <c r="AE92" s="199">
        <f>+'Exhibit F'!AF85+'Exhibit H'!AD46+'Exhibit G State'!AF68</f>
        <v>300</v>
      </c>
      <c r="AF92" s="199"/>
      <c r="AG92" s="1622"/>
      <c r="AH92" s="199">
        <f t="shared" si="14"/>
        <v>74.400000000000006</v>
      </c>
      <c r="AI92" s="66"/>
      <c r="AJ92" s="621">
        <f>ROUND(SUM(AH92/ABS(AE92)),3)</f>
        <v>0.248</v>
      </c>
    </row>
    <row r="93" spans="1:36" ht="15.5">
      <c r="A93" s="360" t="s">
        <v>421</v>
      </c>
      <c r="B93" s="66"/>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200"/>
      <c r="AB93" s="199"/>
      <c r="AC93" s="199"/>
      <c r="AD93" s="882"/>
      <c r="AE93" s="199"/>
      <c r="AF93" s="199"/>
      <c r="AG93" s="1622"/>
      <c r="AH93" s="199"/>
      <c r="AI93" s="66"/>
      <c r="AJ93" s="276"/>
    </row>
    <row r="94" spans="1:36" ht="15.5">
      <c r="A94" s="360" t="s">
        <v>422</v>
      </c>
      <c r="B94" s="66"/>
      <c r="C94" s="199">
        <f>+'Exhibit F'!D87+'Exhibit G State'!D70</f>
        <v>9.4</v>
      </c>
      <c r="D94" s="199"/>
      <c r="E94" s="199">
        <f>+'Exhibit F'!F87+'Exhibit G State'!F70</f>
        <v>9.8000000000000007</v>
      </c>
      <c r="F94" s="199"/>
      <c r="G94" s="199">
        <f>+'Exhibit F'!H87+'Exhibit G State'!H70</f>
        <v>44</v>
      </c>
      <c r="H94" s="199"/>
      <c r="I94" s="199">
        <f>+'Exhibit F'!J87+'Exhibit G State'!J70</f>
        <v>10.699999999999992</v>
      </c>
      <c r="J94" s="199"/>
      <c r="K94" s="199">
        <f>+'Exhibit F'!L87+'Exhibit G State'!L70</f>
        <v>25.100000000000012</v>
      </c>
      <c r="L94" s="199"/>
      <c r="M94" s="199">
        <f>+'Exhibit F'!N87+'Exhibit G State'!N70</f>
        <v>27.000000000000004</v>
      </c>
      <c r="N94" s="199"/>
      <c r="O94" s="199">
        <f>+'Exhibit F'!P87+'Exhibit G State'!P70</f>
        <v>10.599999999999987</v>
      </c>
      <c r="P94" s="199"/>
      <c r="Q94" s="199">
        <f>+'Exhibit F'!R87+'Exhibit G State'!R70</f>
        <v>24.5</v>
      </c>
      <c r="R94" s="199"/>
      <c r="S94" s="199">
        <f>+'Exhibit F'!T87+'Exhibit G State'!T70</f>
        <v>27.100000000000009</v>
      </c>
      <c r="T94" s="199"/>
      <c r="U94" s="199">
        <f>+'Exhibit F'!V87+'Exhibit G State'!V70</f>
        <v>24.000000000000007</v>
      </c>
      <c r="V94" s="199"/>
      <c r="W94" s="199">
        <f>+'Exhibit F'!X87+'Exhibit G State'!X70</f>
        <v>1.1999999999999815</v>
      </c>
      <c r="X94" s="199"/>
      <c r="Y94" s="199"/>
      <c r="Z94" s="199"/>
      <c r="AA94" s="200"/>
      <c r="AB94" s="199">
        <f t="shared" ref="AB94:AB105" si="20">ROUND(SUM(C94:Y94),1)</f>
        <v>213.4</v>
      </c>
      <c r="AC94" s="199"/>
      <c r="AD94" s="882"/>
      <c r="AE94" s="199">
        <f>+'Exhibit F'!AF87+'Exhibit G State'!AF70</f>
        <v>188.2</v>
      </c>
      <c r="AF94" s="199"/>
      <c r="AG94" s="1622"/>
      <c r="AH94" s="199">
        <f t="shared" si="14"/>
        <v>25.2</v>
      </c>
      <c r="AI94" s="66"/>
      <c r="AJ94" s="621">
        <f>ROUND(SUM(AH94/ABS(AE94)),3)</f>
        <v>0.13400000000000001</v>
      </c>
    </row>
    <row r="95" spans="1:36" ht="15.5">
      <c r="A95" s="360" t="s">
        <v>423</v>
      </c>
      <c r="B95" s="66"/>
      <c r="C95" s="199">
        <f>+'Exhibit G State'!D71+'Exhibit F'!D88</f>
        <v>1.6999999999999886</v>
      </c>
      <c r="D95" s="199"/>
      <c r="E95" s="199">
        <f>+'Exhibit G State'!F71+'Exhibit F'!F88</f>
        <v>0.30000000000001692</v>
      </c>
      <c r="F95" s="199"/>
      <c r="G95" s="199">
        <f>+'Exhibit G State'!H71+'Exhibit F'!H88</f>
        <v>0.50000000000001699</v>
      </c>
      <c r="H95" s="199"/>
      <c r="I95" s="199">
        <f>+'Exhibit G State'!J71+'Exhibit F'!J88</f>
        <v>9.9999999999960232E-2</v>
      </c>
      <c r="J95" s="199"/>
      <c r="K95" s="199">
        <f>+'Exhibit G State'!L71+'Exhibit F'!L88</f>
        <v>0.30000000000001736</v>
      </c>
      <c r="L95" s="199"/>
      <c r="M95" s="199">
        <f>+'Exhibit G State'!N71+'Exhibit F'!N88</f>
        <v>-0.10000000000000009</v>
      </c>
      <c r="N95" s="199"/>
      <c r="O95" s="199">
        <f>+'Exhibit G State'!P71+'Exhibit F'!P88</f>
        <v>0.49999999999999978</v>
      </c>
      <c r="P95" s="199"/>
      <c r="Q95" s="199">
        <f>+'Exhibit G State'!R71+'Exhibit F'!R88</f>
        <v>0.10000000000000031</v>
      </c>
      <c r="R95" s="199"/>
      <c r="S95" s="199">
        <f>ROUND((+'Exhibit G State'!T71+'Exhibit F'!T88),0)</f>
        <v>0</v>
      </c>
      <c r="T95" s="199"/>
      <c r="U95" s="199">
        <f>+'Exhibit G State'!V71+'Exhibit F'!V88</f>
        <v>0.30000000000000004</v>
      </c>
      <c r="V95" s="199"/>
      <c r="W95" s="199">
        <f>+'Exhibit G State'!X71+'Exhibit F'!X88</f>
        <v>0.30000000000000027</v>
      </c>
      <c r="X95" s="199"/>
      <c r="Y95" s="199"/>
      <c r="Z95" s="199"/>
      <c r="AA95" s="200"/>
      <c r="AB95" s="199">
        <f t="shared" si="20"/>
        <v>4</v>
      </c>
      <c r="AC95" s="199"/>
      <c r="AD95" s="882"/>
      <c r="AE95" s="199">
        <f>+'Exhibit G State'!AF71+'Exhibit F'!AF88</f>
        <v>2.8</v>
      </c>
      <c r="AF95" s="199"/>
      <c r="AG95" s="1622"/>
      <c r="AH95" s="199">
        <f t="shared" si="14"/>
        <v>1.2</v>
      </c>
      <c r="AI95" s="66"/>
      <c r="AJ95" s="553">
        <f>ROUND(IF(AE95=0,1,AH95/ABS(AE95)),3)</f>
        <v>0.42899999999999999</v>
      </c>
    </row>
    <row r="96" spans="1:36" ht="15.5">
      <c r="A96" s="360" t="s">
        <v>424</v>
      </c>
      <c r="B96" s="66"/>
      <c r="C96" s="199">
        <f>'Exhibit G State'!D72</f>
        <v>0</v>
      </c>
      <c r="D96" s="199"/>
      <c r="E96" s="199">
        <f>'Exhibit G State'!F72</f>
        <v>0</v>
      </c>
      <c r="F96" s="199"/>
      <c r="G96" s="199">
        <f>'Exhibit G State'!H72</f>
        <v>0</v>
      </c>
      <c r="H96" s="199"/>
      <c r="I96" s="199">
        <f>'Exhibit G State'!J72</f>
        <v>0</v>
      </c>
      <c r="J96" s="199"/>
      <c r="K96" s="199">
        <f>'Exhibit G State'!L72</f>
        <v>0</v>
      </c>
      <c r="L96" s="199"/>
      <c r="M96" s="199">
        <f>'Exhibit G State'!N72</f>
        <v>0</v>
      </c>
      <c r="N96" s="199"/>
      <c r="O96" s="199">
        <f>'Exhibit G State'!P72</f>
        <v>0</v>
      </c>
      <c r="P96" s="199"/>
      <c r="Q96" s="199">
        <f>'Exhibit G State'!R72</f>
        <v>0</v>
      </c>
      <c r="R96" s="199"/>
      <c r="S96" s="199">
        <f>'Exhibit G State'!T72</f>
        <v>0</v>
      </c>
      <c r="T96" s="199"/>
      <c r="U96" s="199">
        <f>'Exhibit G State'!V72</f>
        <v>0</v>
      </c>
      <c r="V96" s="199"/>
      <c r="W96" s="199">
        <f>'Exhibit G State'!X72</f>
        <v>0</v>
      </c>
      <c r="X96" s="199"/>
      <c r="Y96" s="199"/>
      <c r="Z96" s="199"/>
      <c r="AA96" s="200"/>
      <c r="AB96" s="199">
        <f t="shared" si="20"/>
        <v>0</v>
      </c>
      <c r="AC96" s="199"/>
      <c r="AD96" s="882"/>
      <c r="AE96" s="199">
        <f>+'Exhibit G State'!AF72</f>
        <v>0</v>
      </c>
      <c r="AF96" s="199"/>
      <c r="AG96" s="1622"/>
      <c r="AH96" s="199">
        <f t="shared" si="14"/>
        <v>0</v>
      </c>
      <c r="AI96" s="66"/>
      <c r="AJ96" s="276">
        <f>ROUND(IF(AE96=0,0,AH96/ABS(AE96)),3)</f>
        <v>0</v>
      </c>
    </row>
    <row r="97" spans="1:45" ht="15.5">
      <c r="A97" s="360" t="s">
        <v>425</v>
      </c>
      <c r="B97" s="66"/>
      <c r="C97" s="199">
        <f>+'Exhibit F'!D89+'Exhibit G State'!D73</f>
        <v>7.3</v>
      </c>
      <c r="D97" s="199"/>
      <c r="E97" s="199">
        <f>+'Exhibit F'!F89+'Exhibit G State'!F73</f>
        <v>0.60000000000000053</v>
      </c>
      <c r="F97" s="199"/>
      <c r="G97" s="199">
        <f>+'Exhibit F'!H89+'Exhibit G State'!H73</f>
        <v>3.2999999999999989</v>
      </c>
      <c r="H97" s="199"/>
      <c r="I97" s="199">
        <f>+'Exhibit F'!J89+'Exhibit G State'!J73</f>
        <v>0.60000000000000142</v>
      </c>
      <c r="J97" s="199"/>
      <c r="K97" s="199">
        <f>+'Exhibit F'!L89+'Exhibit G State'!L73</f>
        <v>0.5</v>
      </c>
      <c r="L97" s="199"/>
      <c r="M97" s="199">
        <f>+'Exhibit F'!N89+'Exhibit G State'!N73</f>
        <v>0</v>
      </c>
      <c r="N97" s="199"/>
      <c r="O97" s="199">
        <f>+'Exhibit F'!P89+'Exhibit G State'!P73</f>
        <v>1</v>
      </c>
      <c r="P97" s="199"/>
      <c r="Q97" s="199">
        <f>+'Exhibit F'!R89+'Exhibit G State'!R73</f>
        <v>0.59999999999999964</v>
      </c>
      <c r="R97" s="199"/>
      <c r="S97" s="199">
        <f>+'Exhibit F'!T89+'Exhibit G State'!T73</f>
        <v>0.69999999999999929</v>
      </c>
      <c r="T97" s="199"/>
      <c r="U97" s="199">
        <f>+'Exhibit F'!V89+'Exhibit G State'!V73</f>
        <v>9.9999999999999645E-2</v>
      </c>
      <c r="V97" s="199"/>
      <c r="W97" s="199">
        <f>+'Exhibit F'!X89+'Exhibit G State'!X73</f>
        <v>5.4000000000000021</v>
      </c>
      <c r="X97" s="199"/>
      <c r="Y97" s="199"/>
      <c r="Z97" s="199"/>
      <c r="AA97" s="200"/>
      <c r="AB97" s="199">
        <f t="shared" si="20"/>
        <v>20.100000000000001</v>
      </c>
      <c r="AC97" s="199"/>
      <c r="AD97" s="882"/>
      <c r="AE97" s="199">
        <f>+'Exhibit F'!AF89+'Exhibit G State'!AF73</f>
        <v>36.799999999999997</v>
      </c>
      <c r="AF97" s="199"/>
      <c r="AG97" s="1622"/>
      <c r="AH97" s="199">
        <f t="shared" si="14"/>
        <v>-16.7</v>
      </c>
      <c r="AI97" s="66"/>
      <c r="AJ97" s="621">
        <f t="shared" ref="AJ97:AJ104" si="21">ROUND(SUM(AH97/ABS(AE97)),3)</f>
        <v>-0.45400000000000001</v>
      </c>
    </row>
    <row r="98" spans="1:45" ht="15.5">
      <c r="A98" s="360" t="s">
        <v>426</v>
      </c>
      <c r="B98" s="66"/>
      <c r="C98" s="199">
        <f>+'Exhibit F'!D90+'Exhibit G State'!D74</f>
        <v>0</v>
      </c>
      <c r="D98" s="199"/>
      <c r="E98" s="199">
        <f>+'Exhibit F'!F90+'Exhibit G State'!F74</f>
        <v>14.9</v>
      </c>
      <c r="F98" s="199"/>
      <c r="G98" s="199">
        <f>+'Exhibit F'!H90+'Exhibit G State'!H74</f>
        <v>6.6</v>
      </c>
      <c r="H98" s="199"/>
      <c r="I98" s="199">
        <f>+'Exhibit F'!J90+'Exhibit G State'!J74</f>
        <v>6.3999999999999986</v>
      </c>
      <c r="J98" s="199"/>
      <c r="K98" s="199">
        <f>+'Exhibit F'!L90+'Exhibit G State'!L74</f>
        <v>6.4</v>
      </c>
      <c r="L98" s="199"/>
      <c r="M98" s="199">
        <f>+'Exhibit F'!N90+'Exhibit G State'!N74</f>
        <v>5.5000000000000036</v>
      </c>
      <c r="N98" s="199"/>
      <c r="O98" s="199">
        <f>+'Exhibit F'!P90+'Exhibit G State'!P74</f>
        <v>11.099999999999994</v>
      </c>
      <c r="P98" s="199"/>
      <c r="Q98" s="199">
        <f>+'Exhibit F'!R90+'Exhibit G State'!R74</f>
        <v>6.9000000000000057</v>
      </c>
      <c r="R98" s="199"/>
      <c r="S98" s="199">
        <f>+'Exhibit F'!T90+'Exhibit G State'!T74</f>
        <v>6.5999999999999943</v>
      </c>
      <c r="T98" s="199"/>
      <c r="U98" s="199">
        <f>+'Exhibit F'!V90+'Exhibit G State'!V74</f>
        <v>6</v>
      </c>
      <c r="V98" s="199"/>
      <c r="W98" s="199">
        <f>+'Exhibit F'!X90+'Exhibit G State'!X74</f>
        <v>6.4000000000000057</v>
      </c>
      <c r="X98" s="199"/>
      <c r="Y98" s="199"/>
      <c r="Z98" s="199"/>
      <c r="AA98" s="200"/>
      <c r="AB98" s="199">
        <f t="shared" si="20"/>
        <v>76.8</v>
      </c>
      <c r="AC98" s="199"/>
      <c r="AD98" s="882"/>
      <c r="AE98" s="199">
        <f>+'Exhibit F'!AF90+'Exhibit G State'!AF74</f>
        <v>73.2</v>
      </c>
      <c r="AF98" s="199"/>
      <c r="AG98" s="1622"/>
      <c r="AH98" s="199">
        <f t="shared" si="14"/>
        <v>3.6</v>
      </c>
      <c r="AI98" s="66"/>
      <c r="AJ98" s="276">
        <f>ROUND(IF(AE98=0,0,AH98/ABS(AE98)),3)</f>
        <v>4.9000000000000002E-2</v>
      </c>
    </row>
    <row r="99" spans="1:45" ht="15.5">
      <c r="A99" s="360" t="s">
        <v>427</v>
      </c>
      <c r="B99" s="66"/>
      <c r="C99" s="199">
        <f>+'Exhibit F'!D91+'Exhibit H'!B48+'Exhibit G State'!D75</f>
        <v>367.6</v>
      </c>
      <c r="D99" s="199"/>
      <c r="E99" s="199">
        <f>+'Exhibit F'!F91+'Exhibit H'!D48+'Exhibit G State'!F75</f>
        <v>298.39999999999998</v>
      </c>
      <c r="F99" s="199"/>
      <c r="G99" s="199">
        <f>+'Exhibit F'!H91+'Exhibit H'!F48+'Exhibit G State'!H75</f>
        <v>281.40000000000003</v>
      </c>
      <c r="H99" s="199"/>
      <c r="I99" s="199">
        <f>+'Exhibit F'!J91+'Exhibit H'!H48+'Exhibit G State'!J75</f>
        <v>277</v>
      </c>
      <c r="J99" s="199"/>
      <c r="K99" s="199">
        <f>+'Exhibit F'!L91+'Exhibit H'!J48+'Exhibit G State'!L75</f>
        <v>374.70000000000005</v>
      </c>
      <c r="L99" s="199"/>
      <c r="M99" s="199">
        <f>+'Exhibit F'!N91+'Exhibit H'!L48+'Exhibit G State'!N75</f>
        <v>316.79999999999967</v>
      </c>
      <c r="N99" s="199"/>
      <c r="O99" s="199">
        <f>+'Exhibit F'!P91+'Exhibit H'!N48+'Exhibit G State'!P75</f>
        <v>345.90000000000015</v>
      </c>
      <c r="P99" s="199"/>
      <c r="Q99" s="199">
        <f>+'Exhibit F'!R91+'Exhibit H'!P48+'Exhibit G State'!R75</f>
        <v>209.99999999999994</v>
      </c>
      <c r="R99" s="199"/>
      <c r="S99" s="199">
        <f>+'Exhibit F'!T91+'Exhibit H'!R48+'Exhibit G State'!T75</f>
        <v>302.00000000000017</v>
      </c>
      <c r="T99" s="199"/>
      <c r="U99" s="199">
        <f>+'Exhibit F'!V91+'Exhibit H'!T48+'Exhibit G State'!V75</f>
        <v>387.00000000000006</v>
      </c>
      <c r="V99" s="199"/>
      <c r="W99" s="199">
        <f>+'Exhibit F'!X91+'Exhibit H'!V48+'Exhibit G State'!X75</f>
        <v>296.10000000000008</v>
      </c>
      <c r="X99" s="199"/>
      <c r="Y99" s="199"/>
      <c r="Z99" s="199"/>
      <c r="AA99" s="200"/>
      <c r="AB99" s="199">
        <f t="shared" si="20"/>
        <v>3456.9</v>
      </c>
      <c r="AC99" s="199"/>
      <c r="AD99" s="882"/>
      <c r="AE99" s="199">
        <f>+'Exhibit F'!AF91+'Exhibit H'!AD48+'Exhibit G State'!AF75</f>
        <v>3225.8</v>
      </c>
      <c r="AF99" s="199"/>
      <c r="AG99" s="1622"/>
      <c r="AH99" s="199">
        <f t="shared" si="14"/>
        <v>231.1</v>
      </c>
      <c r="AI99" s="66"/>
      <c r="AJ99" s="621">
        <f t="shared" si="21"/>
        <v>7.1999999999999995E-2</v>
      </c>
    </row>
    <row r="100" spans="1:45" ht="15.5">
      <c r="A100" s="360" t="s">
        <v>428</v>
      </c>
      <c r="B100" s="66"/>
      <c r="C100" s="199">
        <f>+'Exhibit G State'!D76+'Exhibit F'!D92</f>
        <v>3.0999999999999996</v>
      </c>
      <c r="D100" s="199"/>
      <c r="E100" s="199">
        <f>+'Exhibit G State'!F76+'Exhibit F'!F92</f>
        <v>0.40000000000000036</v>
      </c>
      <c r="F100" s="199"/>
      <c r="G100" s="199">
        <f>+'Exhibit G State'!H76+'Exhibit F'!H92</f>
        <v>4.7</v>
      </c>
      <c r="H100" s="199"/>
      <c r="I100" s="199">
        <f>+'Exhibit G State'!J76+'Exhibit F'!J92</f>
        <v>4.6999999999999993</v>
      </c>
      <c r="J100" s="199"/>
      <c r="K100" s="199">
        <f>+'Exhibit G State'!L76+'Exhibit F'!L92</f>
        <v>3.9000000000000021</v>
      </c>
      <c r="L100" s="199"/>
      <c r="M100" s="199">
        <f>+'Exhibit G State'!N76+'Exhibit F'!N92</f>
        <v>7.4999999999999964</v>
      </c>
      <c r="N100" s="199"/>
      <c r="O100" s="199">
        <f>+'Exhibit G State'!P76+'Exhibit F'!P92</f>
        <v>3.0999999999999988</v>
      </c>
      <c r="P100" s="199"/>
      <c r="Q100" s="199">
        <f>+'Exhibit G State'!R76+'Exhibit F'!R92</f>
        <v>2.7000000000000028</v>
      </c>
      <c r="R100" s="199"/>
      <c r="S100" s="199">
        <f>+'Exhibit G State'!T76+'Exhibit F'!T92</f>
        <v>7.599999999999997</v>
      </c>
      <c r="T100" s="199"/>
      <c r="U100" s="199">
        <f>+'Exhibit G State'!V76+'Exhibit F'!V92</f>
        <v>3.6000000000000041</v>
      </c>
      <c r="V100" s="199"/>
      <c r="W100" s="199">
        <f>+'Exhibit G State'!X76+'Exhibit F'!X92</f>
        <v>0.19999999999999574</v>
      </c>
      <c r="X100" s="199"/>
      <c r="Y100" s="199"/>
      <c r="Z100" s="199"/>
      <c r="AA100" s="200"/>
      <c r="AB100" s="199">
        <f t="shared" si="20"/>
        <v>41.5</v>
      </c>
      <c r="AC100" s="199"/>
      <c r="AD100" s="882"/>
      <c r="AE100" s="199">
        <f>+'Exhibit G State'!AF76+'Exhibit F'!AF92</f>
        <v>54.1</v>
      </c>
      <c r="AF100" s="199"/>
      <c r="AG100" s="1622"/>
      <c r="AH100" s="199">
        <f t="shared" si="14"/>
        <v>-12.6</v>
      </c>
      <c r="AI100" s="66"/>
      <c r="AJ100" s="293">
        <f>ROUND(SUM(AH100/ABS(AE100)),3)</f>
        <v>-0.23300000000000001</v>
      </c>
    </row>
    <row r="101" spans="1:45" ht="15.5">
      <c r="A101" s="360" t="s">
        <v>429</v>
      </c>
      <c r="B101" s="66"/>
      <c r="C101" s="199">
        <f>+'Exhibit F'!D93+'Exhibit G State'!D77</f>
        <v>15.9</v>
      </c>
      <c r="D101" s="199"/>
      <c r="E101" s="199">
        <f>+'Exhibit F'!F93+'Exhibit G State'!F77</f>
        <v>2.3999999999999986</v>
      </c>
      <c r="F101" s="199"/>
      <c r="G101" s="199">
        <f>+'Exhibit F'!H93+'Exhibit G State'!H77</f>
        <v>1.3000000000000007</v>
      </c>
      <c r="H101" s="199"/>
      <c r="I101" s="199">
        <f>+'Exhibit F'!J93+'Exhibit G State'!J77</f>
        <v>43.899999999999991</v>
      </c>
      <c r="J101" s="199"/>
      <c r="K101" s="199">
        <f>+'Exhibit F'!L93+'Exhibit G State'!L77</f>
        <v>20.900000000000013</v>
      </c>
      <c r="L101" s="199"/>
      <c r="M101" s="199">
        <f>+'Exhibit F'!N93+'Exhibit G State'!N77</f>
        <v>1.3000000000000025</v>
      </c>
      <c r="N101" s="199"/>
      <c r="O101" s="199">
        <f>+'Exhibit F'!P93+'Exhibit G State'!P77</f>
        <v>0.69999999999999929</v>
      </c>
      <c r="P101" s="199"/>
      <c r="Q101" s="199">
        <f>+'Exhibit F'!R93+'Exhibit G State'!R77</f>
        <v>4.6000000000000085</v>
      </c>
      <c r="R101" s="199"/>
      <c r="S101" s="199">
        <f>+'Exhibit F'!T93+'Exhibit G State'!T77</f>
        <v>2.2999999999999972</v>
      </c>
      <c r="T101" s="199"/>
      <c r="U101" s="199">
        <f>+'Exhibit F'!V93+'Exhibit G State'!V77</f>
        <v>17.100000000000009</v>
      </c>
      <c r="V101" s="199"/>
      <c r="W101" s="199">
        <f>+'Exhibit F'!X93+'Exhibit G State'!X77</f>
        <v>26.699999999999996</v>
      </c>
      <c r="X101" s="199"/>
      <c r="Y101" s="199"/>
      <c r="Z101" s="199"/>
      <c r="AA101" s="200"/>
      <c r="AB101" s="199">
        <f t="shared" si="20"/>
        <v>137.1</v>
      </c>
      <c r="AC101" s="199"/>
      <c r="AD101" s="882"/>
      <c r="AE101" s="199">
        <f>+'Exhibit F'!AF93+'Exhibit G State'!AF77</f>
        <v>76.399999999999991</v>
      </c>
      <c r="AF101" s="199"/>
      <c r="AG101" s="1622"/>
      <c r="AH101" s="199">
        <f t="shared" si="14"/>
        <v>60.7</v>
      </c>
      <c r="AI101" s="66"/>
      <c r="AJ101" s="621">
        <f t="shared" si="21"/>
        <v>0.79500000000000004</v>
      </c>
    </row>
    <row r="102" spans="1:45" ht="15.5">
      <c r="A102" s="360" t="s">
        <v>430</v>
      </c>
      <c r="B102" s="66"/>
      <c r="C102" s="199">
        <f>+'Exhibit F'!D94+'Exhibit G State'!D78</f>
        <v>1.0999999999999999</v>
      </c>
      <c r="D102" s="199"/>
      <c r="E102" s="199">
        <f>+'Exhibit F'!F94+'Exhibit G State'!F78</f>
        <v>2</v>
      </c>
      <c r="F102" s="199"/>
      <c r="G102" s="199">
        <f>+'Exhibit F'!H94+'Exhibit G State'!H78</f>
        <v>0.79999999999999982</v>
      </c>
      <c r="H102" s="199"/>
      <c r="I102" s="199">
        <f>+'Exhibit F'!J94+'Exhibit G State'!J78</f>
        <v>1.8000000000000007</v>
      </c>
      <c r="J102" s="199"/>
      <c r="K102" s="199">
        <f>+'Exhibit F'!L94+'Exhibit G State'!L78</f>
        <v>1</v>
      </c>
      <c r="L102" s="199"/>
      <c r="M102" s="199">
        <f>+'Exhibit F'!N94+'Exhibit G State'!N78</f>
        <v>0.70000000000000018</v>
      </c>
      <c r="N102" s="199"/>
      <c r="O102" s="199">
        <f>+'Exhibit F'!P94+'Exhibit G State'!P78</f>
        <v>0.90000000000000036</v>
      </c>
      <c r="P102" s="199"/>
      <c r="Q102" s="199">
        <f>+'Exhibit F'!R94+'Exhibit G State'!R78</f>
        <v>0.79999999999999893</v>
      </c>
      <c r="R102" s="199"/>
      <c r="S102" s="199">
        <f>+'Exhibit F'!T94+'Exhibit G State'!T78</f>
        <v>1.2000000000000011</v>
      </c>
      <c r="T102" s="199"/>
      <c r="U102" s="199">
        <f>+'Exhibit F'!V94+'Exhibit G State'!V78</f>
        <v>3.1999999999999993</v>
      </c>
      <c r="V102" s="199"/>
      <c r="W102" s="199">
        <f>+'Exhibit F'!X94+'Exhibit G State'!X78</f>
        <v>0.90000000000000036</v>
      </c>
      <c r="X102" s="199"/>
      <c r="Y102" s="199"/>
      <c r="Z102" s="199"/>
      <c r="AA102" s="200"/>
      <c r="AB102" s="199">
        <f t="shared" si="20"/>
        <v>14.4</v>
      </c>
      <c r="AC102" s="199"/>
      <c r="AD102" s="882"/>
      <c r="AE102" s="199">
        <f>+'Exhibit F'!AF94+'Exhibit G State'!AF78</f>
        <v>37.6</v>
      </c>
      <c r="AF102" s="199"/>
      <c r="AG102" s="1622"/>
      <c r="AH102" s="199">
        <f t="shared" si="14"/>
        <v>-23.2</v>
      </c>
      <c r="AI102" s="66"/>
      <c r="AJ102" s="293">
        <f t="shared" si="21"/>
        <v>-0.61699999999999999</v>
      </c>
    </row>
    <row r="103" spans="1:45" ht="15.5">
      <c r="A103" s="360" t="s">
        <v>431</v>
      </c>
      <c r="B103" s="66"/>
      <c r="C103" s="199">
        <f>+'Exhibit F'!D95+'Exhibit G State'!D79+'Exhibit H'!B49</f>
        <v>79.3</v>
      </c>
      <c r="D103" s="199"/>
      <c r="E103" s="199">
        <f>+'Exhibit F'!F95+'Exhibit G State'!F79+'Exhibit H'!D49</f>
        <v>83.5</v>
      </c>
      <c r="F103" s="199"/>
      <c r="G103" s="199">
        <f>+'Exhibit F'!H95+'Exhibit G State'!H79+'Exhibit H'!F49</f>
        <v>45.100000000000009</v>
      </c>
      <c r="H103" s="199"/>
      <c r="I103" s="199">
        <f>+'Exhibit F'!J95+'Exhibit G State'!J79+'Exhibit H'!H49</f>
        <v>91.59999999999998</v>
      </c>
      <c r="J103" s="199"/>
      <c r="K103" s="199">
        <f>+'Exhibit F'!L95+'Exhibit G State'!L79+'Exhibit H'!J49</f>
        <v>64.40000000000002</v>
      </c>
      <c r="L103" s="199"/>
      <c r="M103" s="199">
        <f>+'Exhibit F'!N95+'Exhibit G State'!N79+'Exhibit H'!L49</f>
        <v>47.199999999999989</v>
      </c>
      <c r="N103" s="199"/>
      <c r="O103" s="199">
        <f>+'Exhibit F'!P95+'Exhibit G State'!P79+'Exhibit H'!N49</f>
        <v>55.299999999999926</v>
      </c>
      <c r="P103" s="199"/>
      <c r="Q103" s="199">
        <f>+'Exhibit F'!R95+'Exhibit G State'!R79+'Exhibit H'!P49</f>
        <v>38.500000000000085</v>
      </c>
      <c r="R103" s="199"/>
      <c r="S103" s="199">
        <f>+'Exhibit F'!T95+'Exhibit G State'!T79+'Exhibit H'!R49</f>
        <v>119.49999999999997</v>
      </c>
      <c r="T103" s="199"/>
      <c r="U103" s="199">
        <f>+'Exhibit F'!V95+'Exhibit G State'!V79+'Exhibit H'!T49</f>
        <v>-79.2</v>
      </c>
      <c r="V103" s="199"/>
      <c r="W103" s="199">
        <f>+'Exhibit F'!X95+'Exhibit G State'!X79+'Exhibit H'!V49</f>
        <v>49.90000000000002</v>
      </c>
      <c r="X103" s="199"/>
      <c r="Y103" s="199"/>
      <c r="Z103" s="199"/>
      <c r="AA103" s="200"/>
      <c r="AB103" s="199">
        <f t="shared" si="20"/>
        <v>595.1</v>
      </c>
      <c r="AC103" s="199"/>
      <c r="AD103" s="882"/>
      <c r="AE103" s="199">
        <f>+'Exhibit F'!AF95+'Exhibit G State'!AF79+'Exhibit H'!AD49</f>
        <v>571.80000000000007</v>
      </c>
      <c r="AF103" s="199"/>
      <c r="AG103" s="1622"/>
      <c r="AH103" s="199">
        <f t="shared" si="14"/>
        <v>23.3</v>
      </c>
      <c r="AI103" s="66"/>
      <c r="AJ103" s="621">
        <f t="shared" si="21"/>
        <v>4.1000000000000002E-2</v>
      </c>
    </row>
    <row r="104" spans="1:45" ht="15.5">
      <c r="A104" s="360" t="s">
        <v>432</v>
      </c>
      <c r="B104" s="66"/>
      <c r="C104" s="199">
        <f>+'Exhibit F'!D96+'Exhibit G State'!D80+'Exhibit H'!B50</f>
        <v>0.6</v>
      </c>
      <c r="D104" s="199"/>
      <c r="E104" s="199">
        <f>+'Exhibit F'!F96+'Exhibit G State'!F80+'Exhibit H'!D50</f>
        <v>0.70000000000000007</v>
      </c>
      <c r="F104" s="199"/>
      <c r="G104" s="199">
        <f>+'Exhibit F'!H96+'Exhibit G State'!H80+'Exhibit H'!F50</f>
        <v>1.9</v>
      </c>
      <c r="H104" s="199"/>
      <c r="I104" s="199">
        <f>+'Exhibit F'!J96+'Exhibit G State'!J80+'Exhibit H'!H50</f>
        <v>0.99999999999999944</v>
      </c>
      <c r="J104" s="199"/>
      <c r="K104" s="199">
        <f>+'Exhibit F'!L96+'Exhibit G State'!L80+'Exhibit H'!J50</f>
        <v>2.1000000000000005</v>
      </c>
      <c r="L104" s="199"/>
      <c r="M104" s="199">
        <f>+'Exhibit F'!N96+'Exhibit G State'!N80+'Exhibit H'!L50</f>
        <v>2.6</v>
      </c>
      <c r="N104" s="199"/>
      <c r="O104" s="199">
        <f>+'Exhibit F'!P96+'Exhibit G State'!P80+'Exhibit H'!N50</f>
        <v>1.5999999999999996</v>
      </c>
      <c r="P104" s="199"/>
      <c r="Q104" s="199">
        <f>+'Exhibit F'!R96+'Exhibit G State'!R80+'Exhibit H'!P50</f>
        <v>2.5000000000000009</v>
      </c>
      <c r="R104" s="199"/>
      <c r="S104" s="199">
        <f>+'Exhibit F'!T96+'Exhibit G State'!T80+'Exhibit H'!R50</f>
        <v>1.5999999999999996</v>
      </c>
      <c r="T104" s="199"/>
      <c r="U104" s="199">
        <f>+'Exhibit F'!V96+'Exhibit G State'!V80+'Exhibit H'!T50</f>
        <v>1.4000000000000004</v>
      </c>
      <c r="V104" s="199"/>
      <c r="W104" s="199">
        <f>+'Exhibit F'!X96+'Exhibit G State'!X80+'Exhibit H'!V50</f>
        <v>2.2000000000000011</v>
      </c>
      <c r="X104" s="199"/>
      <c r="Y104" s="199"/>
      <c r="Z104" s="199"/>
      <c r="AA104" s="200"/>
      <c r="AB104" s="199">
        <f t="shared" si="20"/>
        <v>18.2</v>
      </c>
      <c r="AC104" s="199"/>
      <c r="AD104" s="882"/>
      <c r="AE104" s="199">
        <f>+'Exhibit F'!AF96+'Exhibit G State'!AF80+'Exhibit H'!AD50</f>
        <v>15.5</v>
      </c>
      <c r="AF104" s="199"/>
      <c r="AG104" s="1622"/>
      <c r="AH104" s="199">
        <f t="shared" si="14"/>
        <v>2.7</v>
      </c>
      <c r="AI104" s="66"/>
      <c r="AJ104" s="293">
        <f t="shared" si="21"/>
        <v>0.17399999999999999</v>
      </c>
    </row>
    <row r="105" spans="1:45" ht="15.5">
      <c r="A105" s="360" t="s">
        <v>433</v>
      </c>
      <c r="B105" s="66"/>
      <c r="C105" s="199">
        <f>+'Exhibit G State'!D81</f>
        <v>-16.5</v>
      </c>
      <c r="D105" s="199"/>
      <c r="E105" s="199">
        <f>+'Exhibit G State'!F81</f>
        <v>41.8</v>
      </c>
      <c r="F105" s="199"/>
      <c r="G105" s="199">
        <f>+'Exhibit G State'!H81</f>
        <v>25.299999999999997</v>
      </c>
      <c r="H105" s="199"/>
      <c r="I105" s="199">
        <f>+'Exhibit G State'!J81</f>
        <v>36.300000000000011</v>
      </c>
      <c r="J105" s="199"/>
      <c r="K105" s="199">
        <f>+'Exhibit G State'!L81</f>
        <v>156.09999999999997</v>
      </c>
      <c r="L105" s="199"/>
      <c r="M105" s="199">
        <f>+'Exhibit G State'!N81</f>
        <v>340.20000000000016</v>
      </c>
      <c r="N105" s="199"/>
      <c r="O105" s="199">
        <f>+'Exhibit G State'!P81</f>
        <v>142.0999999999998</v>
      </c>
      <c r="P105" s="199"/>
      <c r="Q105" s="199">
        <f>+'Exhibit G State'!R81</f>
        <v>28.300000000000068</v>
      </c>
      <c r="R105" s="199"/>
      <c r="S105" s="199">
        <f>+'Exhibit G State'!T81</f>
        <v>13.299999999999955</v>
      </c>
      <c r="T105" s="199"/>
      <c r="U105" s="199">
        <f>+'Exhibit G State'!V81</f>
        <v>263.4000000000002</v>
      </c>
      <c r="V105" s="199"/>
      <c r="W105" s="199">
        <f>+'Exhibit G State'!X81</f>
        <v>288.29999999999973</v>
      </c>
      <c r="X105" s="199"/>
      <c r="Y105" s="199"/>
      <c r="Z105" s="199"/>
      <c r="AA105" s="200"/>
      <c r="AB105" s="199">
        <f t="shared" si="20"/>
        <v>1318.6</v>
      </c>
      <c r="AC105" s="199"/>
      <c r="AD105" s="882"/>
      <c r="AE105" s="199">
        <f>+'Exhibit G State'!AF81</f>
        <v>1305.2</v>
      </c>
      <c r="AF105" s="199"/>
      <c r="AG105" s="1622"/>
      <c r="AH105" s="199">
        <f t="shared" si="14"/>
        <v>13.4</v>
      </c>
      <c r="AI105" s="66"/>
      <c r="AJ105" s="293">
        <f>ROUND(SUM(AH105/ABS(AE105)),3)</f>
        <v>0.01</v>
      </c>
    </row>
    <row r="106" spans="1:45" ht="15.5">
      <c r="A106" s="88" t="s">
        <v>434</v>
      </c>
      <c r="B106" s="61"/>
      <c r="C106" s="72">
        <f>ROUND(SUM(C64:C105),1)</f>
        <v>2269.1999999999998</v>
      </c>
      <c r="D106" s="429"/>
      <c r="E106" s="72">
        <f>ROUND(SUM(E64:E105),1)</f>
        <v>2103.9</v>
      </c>
      <c r="F106" s="429"/>
      <c r="G106" s="72">
        <f>ROUND(SUM(G64:G105),1)</f>
        <v>2153.3000000000002</v>
      </c>
      <c r="H106" s="13"/>
      <c r="I106" s="72">
        <f>ROUND(SUM(I64:I105),1)</f>
        <v>2223.4</v>
      </c>
      <c r="J106" s="13"/>
      <c r="K106" s="72">
        <f>ROUND(SUM(K64:K105),1)</f>
        <v>2255.6</v>
      </c>
      <c r="L106" s="13"/>
      <c r="M106" s="72">
        <f>ROUND(SUM(M64:M105),1)</f>
        <v>2717.4</v>
      </c>
      <c r="N106" s="13"/>
      <c r="O106" s="72">
        <f>ROUND(SUM(O64:O105),1)</f>
        <v>2502.6</v>
      </c>
      <c r="P106" s="13"/>
      <c r="Q106" s="72">
        <f>ROUND(SUM(Q64:Q105),1)</f>
        <v>2145.3000000000002</v>
      </c>
      <c r="R106" s="13"/>
      <c r="S106" s="72">
        <f>ROUND(SUM(S64:S105),1)</f>
        <v>2256.5</v>
      </c>
      <c r="T106" s="13"/>
      <c r="U106" s="72">
        <f>ROUND(SUM(U64:U105),1)</f>
        <v>2561</v>
      </c>
      <c r="V106" s="13"/>
      <c r="W106" s="72">
        <f>ROUND(SUM(W64:W105),1)</f>
        <v>2453.1</v>
      </c>
      <c r="X106" s="40"/>
      <c r="Y106" s="72">
        <f>ROUND(SUM(Y64:Y105),1)</f>
        <v>0</v>
      </c>
      <c r="Z106" s="40"/>
      <c r="AA106" s="73"/>
      <c r="AB106" s="72">
        <f>ROUND(SUM(AB64:AB105),1)</f>
        <v>25641.3</v>
      </c>
      <c r="AC106" s="13"/>
      <c r="AD106" s="14"/>
      <c r="AE106" s="72">
        <f>ROUND(SUM(AE64:AE105),1)</f>
        <v>24734.799999999999</v>
      </c>
      <c r="AF106" s="13"/>
      <c r="AG106" s="721"/>
      <c r="AH106" s="72">
        <f>ROUND(SUM(AH64:AH105),1)</f>
        <v>906.5</v>
      </c>
      <c r="AI106" s="13"/>
      <c r="AJ106" s="427">
        <f>ROUND(SUM(+AH106/ABS(AE106)),3)</f>
        <v>3.6999999999999998E-2</v>
      </c>
    </row>
    <row r="107" spans="1:45" ht="15.5">
      <c r="A107" s="66"/>
      <c r="B107" s="66"/>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c r="AA107" s="200"/>
      <c r="AB107" s="199"/>
      <c r="AC107" s="199"/>
      <c r="AD107" s="200"/>
      <c r="AE107" s="199"/>
      <c r="AF107" s="199"/>
      <c r="AG107" s="1622"/>
      <c r="AH107" s="199"/>
      <c r="AI107" s="66"/>
      <c r="AJ107" s="293"/>
    </row>
    <row r="108" spans="1:45" ht="15.5">
      <c r="A108" s="66" t="s">
        <v>120</v>
      </c>
      <c r="B108" s="66"/>
      <c r="C108" s="201">
        <f>+'Exhibit F'!D99+'Exhibit G State'!D84+'Exhibit H'!B53</f>
        <v>7.5</v>
      </c>
      <c r="D108" s="199"/>
      <c r="E108" s="201">
        <f>+'Exhibit F'!F99+'Exhibit G State'!F84+'Exhibit H'!D53</f>
        <v>-0.30000000000000004</v>
      </c>
      <c r="F108" s="199"/>
      <c r="G108" s="201">
        <f>+'Exhibit F'!H99+'Exhibit G State'!H84+'Exhibit H'!F53</f>
        <v>0</v>
      </c>
      <c r="H108" s="199"/>
      <c r="I108" s="201">
        <f>+'Exhibit F'!J99+'Exhibit G State'!J84+'Exhibit H'!H53</f>
        <v>0.1</v>
      </c>
      <c r="J108" s="199"/>
      <c r="K108" s="201">
        <f>+'Exhibit F'!L99+'Exhibit G State'!L84+'Exhibit H'!J53</f>
        <v>0.10000000000000003</v>
      </c>
      <c r="L108" s="199"/>
      <c r="M108" s="201">
        <f>+'Exhibit F'!N99+'Exhibit G State'!N84+'Exhibit H'!L53</f>
        <v>30.099999999999998</v>
      </c>
      <c r="N108" s="199"/>
      <c r="O108" s="201">
        <f>+'Exhibit F'!P99+'Exhibit G State'!P84+'Exhibit H'!N53</f>
        <v>0.80000000000000282</v>
      </c>
      <c r="P108" s="199"/>
      <c r="Q108" s="201">
        <f>+'Exhibit F'!R99+'Exhibit G State'!R84+'Exhibit H'!P53</f>
        <v>3.6</v>
      </c>
      <c r="R108" s="199"/>
      <c r="S108" s="201">
        <f>+'Exhibit F'!T99+'Exhibit G State'!T84+'Exhibit H'!R53</f>
        <v>3649.5</v>
      </c>
      <c r="T108" s="199"/>
      <c r="U108" s="201">
        <f>+'Exhibit F'!V99+'Exhibit G State'!V84+'Exhibit H'!T53</f>
        <v>0</v>
      </c>
      <c r="V108" s="199"/>
      <c r="W108" s="201">
        <f>+'Exhibit F'!X99+'Exhibit G State'!X84+'Exhibit H'!V53</f>
        <v>-9.8999999999997286</v>
      </c>
      <c r="X108" s="199"/>
      <c r="Y108" s="201"/>
      <c r="Z108" s="199"/>
      <c r="AA108" s="200"/>
      <c r="AB108" s="201">
        <f>ROUND(SUM(C108:Y108),1)</f>
        <v>3681.5</v>
      </c>
      <c r="AC108" s="199"/>
      <c r="AD108" s="882"/>
      <c r="AE108" s="201">
        <f>'Exhibit F'!AF99+'Exhibit G State'!AF84+'Exhibit H'!AD53</f>
        <v>24.8</v>
      </c>
      <c r="AF108" s="199"/>
      <c r="AG108" s="1622"/>
      <c r="AH108" s="201">
        <f>ROUND(SUM(AB108-AE108),1)</f>
        <v>3656.7</v>
      </c>
      <c r="AI108" s="66"/>
      <c r="AJ108" s="573">
        <f>ROUND(IF(AE108=0,1,AH108/ABS(AE108)),3)</f>
        <v>147.44800000000001</v>
      </c>
    </row>
    <row r="109" spans="1:45" ht="15.5">
      <c r="A109" s="66"/>
      <c r="B109" s="66"/>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c r="AA109" s="200"/>
      <c r="AB109" s="199"/>
      <c r="AC109" s="199"/>
      <c r="AD109" s="882"/>
      <c r="AE109" s="199"/>
      <c r="AF109" s="199"/>
      <c r="AG109" s="1622"/>
      <c r="AH109" s="199"/>
      <c r="AI109" s="66"/>
      <c r="AJ109" s="1047"/>
    </row>
    <row r="110" spans="1:45" ht="15.5">
      <c r="A110" s="3" t="s">
        <v>435</v>
      </c>
      <c r="B110" s="374"/>
      <c r="C110" s="367">
        <f>ROUND(SUM(C108+C106+C60),1)</f>
        <v>13089.5</v>
      </c>
      <c r="D110" s="13"/>
      <c r="E110" s="367">
        <f>ROUND(SUM(E108+E106+E60),1)</f>
        <v>8202.5</v>
      </c>
      <c r="F110" s="13"/>
      <c r="G110" s="367">
        <f>ROUND(SUM(G108+G106+G60),1)</f>
        <v>14778.5</v>
      </c>
      <c r="H110" s="13"/>
      <c r="I110" s="367">
        <f>ROUND(SUM(I108+I106+I60),1)</f>
        <v>8378</v>
      </c>
      <c r="J110" s="13"/>
      <c r="K110" s="367">
        <f>ROUND(SUM(K108+K106+K60),1)</f>
        <v>7879.6</v>
      </c>
      <c r="L110" s="13"/>
      <c r="M110" s="367">
        <f>ROUND(SUM(M108+M106+M60),1)</f>
        <v>15312.6</v>
      </c>
      <c r="N110" s="13"/>
      <c r="O110" s="367">
        <f>ROUND(SUM(O108+O106+O60),1)</f>
        <v>6331.9</v>
      </c>
      <c r="P110" s="13"/>
      <c r="Q110" s="367">
        <f>ROUND(SUM(Q108+Q106+Q60),1)</f>
        <v>7852.4</v>
      </c>
      <c r="R110" s="13"/>
      <c r="S110" s="367">
        <f>ROUND(SUM(S108+S106+S60),1)</f>
        <v>21257</v>
      </c>
      <c r="T110" s="13"/>
      <c r="U110" s="367">
        <f>ROUND(SUM(U108+U106+U60),1)</f>
        <v>14611.3</v>
      </c>
      <c r="V110" s="13"/>
      <c r="W110" s="367">
        <f>ROUND(SUM(W108+W106+W60),1)</f>
        <v>10585.6</v>
      </c>
      <c r="X110" s="40"/>
      <c r="Y110" s="367">
        <f>ROUND(SUM(Y108+Y106+Y60),1)</f>
        <v>0</v>
      </c>
      <c r="Z110" s="1244"/>
      <c r="AA110" s="3"/>
      <c r="AB110" s="367">
        <f>ROUND(SUM(AB108+AB106+AB60),1)</f>
        <v>128278.9</v>
      </c>
      <c r="AC110" s="13"/>
      <c r="AD110" s="14"/>
      <c r="AE110" s="367">
        <f>ROUND(SUM(AE108+AE106+AE60),1)</f>
        <v>115617.5</v>
      </c>
      <c r="AF110" s="13"/>
      <c r="AG110" s="721"/>
      <c r="AH110" s="367">
        <f>ROUND(SUM(AH108+AH106+AH60),1)</f>
        <v>12661.4</v>
      </c>
      <c r="AI110" s="13"/>
      <c r="AJ110" s="378">
        <f>ROUND(SUM(+AH110/ABS(AE110)),3)</f>
        <v>0.11</v>
      </c>
      <c r="AK110" s="134"/>
      <c r="AL110" s="134"/>
      <c r="AM110" s="134"/>
      <c r="AN110" s="134"/>
      <c r="AO110" s="134"/>
      <c r="AP110" s="134"/>
      <c r="AQ110" s="134"/>
      <c r="AR110" s="134"/>
      <c r="AS110" s="134"/>
    </row>
    <row r="111" spans="1:45" ht="15.5">
      <c r="A111" s="40"/>
      <c r="B111" s="66"/>
      <c r="C111" s="11"/>
      <c r="D111" s="199"/>
      <c r="E111" s="11"/>
      <c r="F111" s="199"/>
      <c r="G111" s="11"/>
      <c r="H111" s="199"/>
      <c r="I111" s="11"/>
      <c r="J111" s="199"/>
      <c r="K111" s="11"/>
      <c r="L111" s="199"/>
      <c r="M111" s="11"/>
      <c r="N111" s="199"/>
      <c r="O111" s="11"/>
      <c r="P111" s="199"/>
      <c r="Q111" s="11"/>
      <c r="R111" s="199"/>
      <c r="S111" s="11"/>
      <c r="T111" s="199"/>
      <c r="U111" s="11"/>
      <c r="V111" s="199"/>
      <c r="W111" s="11"/>
      <c r="X111" s="199"/>
      <c r="Y111" s="11"/>
      <c r="Z111" s="199"/>
      <c r="AA111" s="200"/>
      <c r="AB111" s="11"/>
      <c r="AC111" s="199"/>
      <c r="AD111" s="882"/>
      <c r="AE111" s="11"/>
      <c r="AF111" s="199"/>
      <c r="AG111" s="1622"/>
      <c r="AH111" s="274"/>
      <c r="AI111" s="66"/>
      <c r="AJ111" s="278"/>
    </row>
    <row r="112" spans="1:45" ht="15.5">
      <c r="A112" s="40" t="s">
        <v>122</v>
      </c>
      <c r="B112" s="66"/>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200"/>
      <c r="AB112" s="199"/>
      <c r="AC112" s="199"/>
      <c r="AD112" s="882"/>
      <c r="AE112" s="199"/>
      <c r="AF112" s="199"/>
      <c r="AG112" s="1622"/>
      <c r="AH112" s="274"/>
      <c r="AI112" s="66"/>
      <c r="AJ112" s="278"/>
    </row>
    <row r="113" spans="1:38" ht="15.5">
      <c r="A113" s="66" t="s">
        <v>436</v>
      </c>
      <c r="B113" s="66"/>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c r="AA113" s="200"/>
      <c r="AB113" s="199"/>
      <c r="AC113" s="199"/>
      <c r="AD113" s="882"/>
      <c r="AE113" s="274"/>
      <c r="AF113" s="199"/>
      <c r="AG113" s="1622"/>
      <c r="AH113" s="199"/>
      <c r="AI113" s="66"/>
      <c r="AJ113" s="293"/>
    </row>
    <row r="114" spans="1:38" ht="15.5">
      <c r="A114" s="773" t="s">
        <v>124</v>
      </c>
      <c r="B114" s="66"/>
      <c r="C114" s="199">
        <f>+'Exhibit F'!D105+'Exhibit G State'!D90</f>
        <v>1860.8999999999999</v>
      </c>
      <c r="D114" s="199"/>
      <c r="E114" s="199">
        <f>+'Exhibit F'!F105+'Exhibit G State'!F90</f>
        <v>5333</v>
      </c>
      <c r="F114" s="199"/>
      <c r="G114" s="199">
        <f>+'Exhibit F'!H105+'Exhibit G State'!H90</f>
        <v>2936.8999999999992</v>
      </c>
      <c r="H114" s="199"/>
      <c r="I114" s="199">
        <f>+'Exhibit F'!J105+'Exhibit G State'!J90</f>
        <v>1227.0999999999999</v>
      </c>
      <c r="J114" s="199"/>
      <c r="K114" s="199">
        <f>+'Exhibit F'!L105+'Exhibit G State'!L90</f>
        <v>866.89999999999964</v>
      </c>
      <c r="L114" s="199"/>
      <c r="M114" s="199">
        <f>+'Exhibit F'!N105+'Exhibit G State'!N90</f>
        <v>5683.5</v>
      </c>
      <c r="N114" s="199"/>
      <c r="O114" s="199">
        <f>+'Exhibit F'!P105+'Exhibit G State'!P90</f>
        <v>1812.7000000000007</v>
      </c>
      <c r="P114" s="199"/>
      <c r="Q114" s="199">
        <f>+'Exhibit F'!R105+'Exhibit G State'!R90</f>
        <v>2211.7000000000007</v>
      </c>
      <c r="R114" s="199"/>
      <c r="S114" s="199">
        <f>+'Exhibit F'!T105+'Exhibit G State'!T90</f>
        <v>2910.1999999999989</v>
      </c>
      <c r="T114" s="199"/>
      <c r="U114" s="199">
        <f>+'Exhibit F'!V105+'Exhibit G State'!V90</f>
        <v>3738.4999999999982</v>
      </c>
      <c r="V114" s="199"/>
      <c r="W114" s="199">
        <f>+'Exhibit F'!X105+'Exhibit G State'!X90</f>
        <v>1845.7000000000016</v>
      </c>
      <c r="X114" s="199"/>
      <c r="Y114" s="199"/>
      <c r="Z114" s="199"/>
      <c r="AA114" s="200"/>
      <c r="AB114" s="274">
        <f>ROUND(SUM(C114:Y114),1)</f>
        <v>30427.1</v>
      </c>
      <c r="AC114" s="199"/>
      <c r="AD114" s="882"/>
      <c r="AE114" s="274">
        <f>+'Exhibit F'!AF105+'Exhibit G State'!AF90</f>
        <v>28917.599999999999</v>
      </c>
      <c r="AF114" s="199"/>
      <c r="AG114" s="1622"/>
      <c r="AH114" s="199">
        <f>ROUND(SUM(AB114-AE114),1)</f>
        <v>1509.5</v>
      </c>
      <c r="AI114" s="66"/>
      <c r="AJ114" s="293">
        <f>ROUND(SUM(AH114/ABS(AE114)),3)</f>
        <v>5.1999999999999998E-2</v>
      </c>
    </row>
    <row r="115" spans="1:38" ht="15.5">
      <c r="A115" s="773" t="s">
        <v>125</v>
      </c>
      <c r="B115" s="66"/>
      <c r="C115" s="199">
        <f>+'Exhibit F'!D106+'Exhibit G State'!D91</f>
        <v>0.1</v>
      </c>
      <c r="D115" s="199"/>
      <c r="E115" s="199">
        <f>+'Exhibit F'!F106+'Exhibit G State'!F91</f>
        <v>0.5</v>
      </c>
      <c r="F115" s="199"/>
      <c r="G115" s="199">
        <f>+'Exhibit F'!H106+'Exhibit G State'!H91</f>
        <v>9.9999999999999978E-2</v>
      </c>
      <c r="H115" s="199"/>
      <c r="I115" s="199">
        <f>+'Exhibit F'!J106+'Exhibit G State'!J91</f>
        <v>1.4</v>
      </c>
      <c r="J115" s="199"/>
      <c r="K115" s="199">
        <f>+'Exhibit F'!L106+'Exhibit G State'!L91</f>
        <v>0.39999999999999991</v>
      </c>
      <c r="L115" s="199"/>
      <c r="M115" s="199">
        <f>+'Exhibit F'!N106+'Exhibit G State'!N91</f>
        <v>1.4000000000000004</v>
      </c>
      <c r="N115" s="199"/>
      <c r="O115" s="199">
        <f>+'Exhibit F'!P106+'Exhibit G State'!P91</f>
        <v>0.70000000000000018</v>
      </c>
      <c r="P115" s="199"/>
      <c r="Q115" s="199">
        <f>+'Exhibit F'!R106+'Exhibit G State'!R91</f>
        <v>4.0999999999999996</v>
      </c>
      <c r="R115" s="199"/>
      <c r="S115" s="199">
        <f>+'Exhibit F'!T106+'Exhibit G State'!T91</f>
        <v>0.79999999999999938</v>
      </c>
      <c r="T115" s="199"/>
      <c r="U115" s="199">
        <f>+'Exhibit F'!V106+'Exhibit G State'!V91</f>
        <v>0.4000000000000008</v>
      </c>
      <c r="V115" s="199"/>
      <c r="W115" s="199">
        <f>+'Exhibit F'!X106+'Exhibit G State'!X91</f>
        <v>0.49999999999999911</v>
      </c>
      <c r="X115" s="199"/>
      <c r="Y115" s="199"/>
      <c r="Z115" s="199"/>
      <c r="AA115" s="200"/>
      <c r="AB115" s="274">
        <f t="shared" ref="AB115:AB122" si="22">ROUND(SUM(C115:Y115),1)</f>
        <v>10.4</v>
      </c>
      <c r="AC115" s="199"/>
      <c r="AD115" s="882"/>
      <c r="AE115" s="274">
        <f>+'Exhibit F'!AF106+'Exhibit G State'!AF91</f>
        <v>7.6999999999999993</v>
      </c>
      <c r="AF115" s="199"/>
      <c r="AG115" s="1622"/>
      <c r="AH115" s="199">
        <f t="shared" ref="AH115:AH122" si="23">ROUND(SUM(AB115-AE115),1)</f>
        <v>2.7</v>
      </c>
      <c r="AI115" s="66"/>
      <c r="AJ115" s="621">
        <f>ROUND(IF(AE115=0,1,AH115/ABS(AE115)),3)</f>
        <v>0.35099999999999998</v>
      </c>
    </row>
    <row r="116" spans="1:38" ht="15.5">
      <c r="A116" s="773" t="s">
        <v>126</v>
      </c>
      <c r="B116" s="66"/>
      <c r="C116" s="199">
        <f>+'Exhibit F'!D107+'Exhibit G State'!D92</f>
        <v>39.299999999999997</v>
      </c>
      <c r="D116" s="199"/>
      <c r="E116" s="199">
        <f>+'Exhibit F'!F107+'Exhibit G State'!F92</f>
        <v>84.299999999999983</v>
      </c>
      <c r="F116" s="199"/>
      <c r="G116" s="199">
        <f>+'Exhibit F'!H107+'Exhibit G State'!H92</f>
        <v>409.20000000000005</v>
      </c>
      <c r="H116" s="199"/>
      <c r="I116" s="199">
        <f>+'Exhibit F'!J107+'Exhibit G State'!J92</f>
        <v>68.300000000000011</v>
      </c>
      <c r="J116" s="199"/>
      <c r="K116" s="199">
        <f>+'Exhibit F'!L107+'Exhibit G State'!L92</f>
        <v>97.299999999999926</v>
      </c>
      <c r="L116" s="199"/>
      <c r="M116" s="199">
        <f>+'Exhibit F'!N107+'Exhibit G State'!N92</f>
        <v>161.89999999999998</v>
      </c>
      <c r="N116" s="199"/>
      <c r="O116" s="199">
        <f>+'Exhibit F'!P107+'Exhibit G State'!P92</f>
        <v>59.200000000000074</v>
      </c>
      <c r="P116" s="199"/>
      <c r="Q116" s="199">
        <f>+'Exhibit F'!R107+'Exhibit G State'!R92</f>
        <v>50.80000000000004</v>
      </c>
      <c r="R116" s="199"/>
      <c r="S116" s="199">
        <f>+'Exhibit F'!T107+'Exhibit G State'!T92</f>
        <v>203.20000000000002</v>
      </c>
      <c r="T116" s="199"/>
      <c r="U116" s="199">
        <f>+'Exhibit F'!V107+'Exhibit G State'!V92</f>
        <v>55.099999999999966</v>
      </c>
      <c r="V116" s="199"/>
      <c r="W116" s="199">
        <f>+'Exhibit F'!X107+'Exhibit G State'!X92</f>
        <v>55.5</v>
      </c>
      <c r="X116" s="199"/>
      <c r="Y116" s="199"/>
      <c r="Z116" s="199"/>
      <c r="AA116" s="200"/>
      <c r="AB116" s="274">
        <f t="shared" si="22"/>
        <v>1284.0999999999999</v>
      </c>
      <c r="AC116" s="199"/>
      <c r="AD116" s="882"/>
      <c r="AE116" s="274">
        <f>+'Exhibit F'!AF107+'Exhibit G State'!AF92</f>
        <v>1236.2</v>
      </c>
      <c r="AF116" s="199"/>
      <c r="AG116" s="1622"/>
      <c r="AH116" s="199">
        <f t="shared" si="23"/>
        <v>47.9</v>
      </c>
      <c r="AI116" s="66"/>
      <c r="AJ116" s="293">
        <f>ROUND(SUM(AH116/ABS(AE116)),3)</f>
        <v>3.9E-2</v>
      </c>
    </row>
    <row r="117" spans="1:38" ht="15.5">
      <c r="A117" s="773" t="s">
        <v>127</v>
      </c>
      <c r="B117" s="66"/>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200"/>
      <c r="AB117" s="274"/>
      <c r="AC117" s="199"/>
      <c r="AD117" s="882"/>
      <c r="AE117" s="285"/>
      <c r="AF117" s="199"/>
      <c r="AG117" s="1622"/>
      <c r="AH117" s="199" t="s">
        <v>103</v>
      </c>
      <c r="AI117" s="66"/>
      <c r="AJ117" s="293"/>
    </row>
    <row r="118" spans="1:38" ht="15.5">
      <c r="A118" s="774" t="s">
        <v>128</v>
      </c>
      <c r="B118" s="66"/>
      <c r="C118" s="199">
        <f>+'Exhibit F'!D109+'Exhibit G State'!D94</f>
        <v>3962.6</v>
      </c>
      <c r="D118" s="199"/>
      <c r="E118" s="199">
        <f>+'Exhibit F'!F109+'Exhibit G State'!F94</f>
        <v>3074.2</v>
      </c>
      <c r="F118" s="199"/>
      <c r="G118" s="199">
        <f>+'Exhibit F'!H109+'Exhibit G State'!H94</f>
        <v>1789</v>
      </c>
      <c r="H118" s="199"/>
      <c r="I118" s="199">
        <f>+'Exhibit F'!J109+'Exhibit G State'!J94</f>
        <v>3353.5999999999995</v>
      </c>
      <c r="J118" s="199"/>
      <c r="K118" s="199">
        <f>+'Exhibit F'!L109+'Exhibit G State'!L94</f>
        <v>2687.9000000000015</v>
      </c>
      <c r="L118" s="199"/>
      <c r="M118" s="199">
        <f>+'Exhibit F'!N109+'Exhibit G State'!N94</f>
        <v>3304.1999999999989</v>
      </c>
      <c r="N118" s="199"/>
      <c r="O118" s="199">
        <f>+'Exhibit F'!P109+'Exhibit G State'!P94</f>
        <v>3668.9000000000019</v>
      </c>
      <c r="P118" s="199"/>
      <c r="Q118" s="199">
        <f>+'Exhibit F'!R109+'Exhibit G State'!R94</f>
        <v>2973.6</v>
      </c>
      <c r="R118" s="199"/>
      <c r="S118" s="199">
        <f>+'Exhibit F'!T109+'Exhibit G State'!T94</f>
        <v>2814.9999999999977</v>
      </c>
      <c r="T118" s="199"/>
      <c r="U118" s="199">
        <f>+'Exhibit F'!V109+'Exhibit G State'!V94</f>
        <v>2711.0999999999995</v>
      </c>
      <c r="V118" s="199"/>
      <c r="W118" s="199">
        <f>+'Exhibit F'!X109+'Exhibit G State'!X94</f>
        <v>2383.5000000000018</v>
      </c>
      <c r="X118" s="199"/>
      <c r="Y118" s="199"/>
      <c r="Z118" s="199"/>
      <c r="AA118" s="200"/>
      <c r="AB118" s="274">
        <f t="shared" si="22"/>
        <v>32723.599999999999</v>
      </c>
      <c r="AC118" s="199"/>
      <c r="AD118" s="882"/>
      <c r="AE118" s="274">
        <f>+'Exhibit F'!AF109+'Exhibit G State'!AF94</f>
        <v>29806.199999999997</v>
      </c>
      <c r="AF118" s="199"/>
      <c r="AG118" s="1622"/>
      <c r="AH118" s="199">
        <f t="shared" si="23"/>
        <v>2917.4</v>
      </c>
      <c r="AI118" s="66"/>
      <c r="AJ118" s="293">
        <f t="shared" ref="AJ118:AJ124" si="24">ROUND(SUM(AH118/ABS(AE118)),3)</f>
        <v>9.8000000000000004E-2</v>
      </c>
    </row>
    <row r="119" spans="1:38" ht="15.5">
      <c r="A119" s="773" t="s">
        <v>129</v>
      </c>
      <c r="B119" s="66"/>
      <c r="C119" s="199">
        <f>+'Exhibit F'!D110+'Exhibit G State'!D95</f>
        <v>178.3</v>
      </c>
      <c r="D119" s="199"/>
      <c r="E119" s="199">
        <f>+'Exhibit F'!F110+'Exhibit G State'!F95</f>
        <v>280</v>
      </c>
      <c r="F119" s="199"/>
      <c r="G119" s="199">
        <f>+'Exhibit F'!H110+'Exhibit G State'!H95</f>
        <v>721.6</v>
      </c>
      <c r="H119" s="199"/>
      <c r="I119" s="199">
        <f>+'Exhibit F'!J110+'Exhibit G State'!J95</f>
        <v>308.30000000000013</v>
      </c>
      <c r="J119" s="199"/>
      <c r="K119" s="199">
        <f>+'Exhibit F'!L110+'Exhibit G State'!L95</f>
        <v>318.2</v>
      </c>
      <c r="L119" s="199"/>
      <c r="M119" s="199">
        <f>+'Exhibit F'!N110+'Exhibit G State'!N95</f>
        <v>593.79999999999995</v>
      </c>
      <c r="N119" s="199"/>
      <c r="O119" s="199">
        <f>+'Exhibit F'!P110+'Exhibit G State'!P95</f>
        <v>528.29999999999973</v>
      </c>
      <c r="P119" s="199"/>
      <c r="Q119" s="199">
        <f>+'Exhibit F'!R110+'Exhibit G State'!R95</f>
        <v>273.70000000000005</v>
      </c>
      <c r="R119" s="199"/>
      <c r="S119" s="199">
        <f>+'Exhibit F'!T110+'Exhibit G State'!T95</f>
        <v>521.79999999999995</v>
      </c>
      <c r="T119" s="199"/>
      <c r="U119" s="199">
        <f>+'Exhibit F'!V110+'Exhibit G State'!V95</f>
        <v>506.60000000000014</v>
      </c>
      <c r="V119" s="199"/>
      <c r="W119" s="199">
        <f>+'Exhibit F'!X110+'Exhibit G State'!X95</f>
        <v>331.30000000000018</v>
      </c>
      <c r="X119" s="199"/>
      <c r="Y119" s="199"/>
      <c r="Z119" s="199"/>
      <c r="AA119" s="200"/>
      <c r="AB119" s="274">
        <f t="shared" si="22"/>
        <v>4561.8999999999996</v>
      </c>
      <c r="AC119" s="1245"/>
      <c r="AD119" s="199"/>
      <c r="AE119" s="274">
        <f>+'Exhibit F'!AF110+'Exhibit G State'!AF95</f>
        <v>3681</v>
      </c>
      <c r="AF119" s="199"/>
      <c r="AG119" s="1622"/>
      <c r="AH119" s="199">
        <f t="shared" si="23"/>
        <v>880.9</v>
      </c>
      <c r="AI119" s="66"/>
      <c r="AJ119" s="293">
        <f t="shared" si="24"/>
        <v>0.23899999999999999</v>
      </c>
    </row>
    <row r="120" spans="1:38" ht="15.5">
      <c r="A120" s="773" t="s">
        <v>130</v>
      </c>
      <c r="B120" s="66"/>
      <c r="C120" s="199">
        <f>+'Exhibit F'!D111+'Exhibit G State'!D96</f>
        <v>42.7</v>
      </c>
      <c r="D120" s="199"/>
      <c r="E120" s="199">
        <f>+'Exhibit F'!F111+'Exhibit G State'!F96</f>
        <v>51.8</v>
      </c>
      <c r="F120" s="199"/>
      <c r="G120" s="199">
        <f>+'Exhibit F'!H111+'Exhibit G State'!H96</f>
        <v>83.199999999999989</v>
      </c>
      <c r="H120" s="199"/>
      <c r="I120" s="199">
        <f>+'Exhibit F'!J111+'Exhibit G State'!J96</f>
        <v>45.700000000000024</v>
      </c>
      <c r="J120" s="199"/>
      <c r="K120" s="199">
        <f>+'Exhibit F'!L111+'Exhibit G State'!L96</f>
        <v>109.29999999999995</v>
      </c>
      <c r="L120" s="199"/>
      <c r="M120" s="199">
        <f>+'Exhibit F'!N111+'Exhibit G State'!N96</f>
        <v>100.90000000000006</v>
      </c>
      <c r="N120" s="199"/>
      <c r="O120" s="199">
        <f>+'Exhibit F'!P111+'Exhibit G State'!P96</f>
        <v>98.499999999999972</v>
      </c>
      <c r="P120" s="199"/>
      <c r="Q120" s="199">
        <f>+'Exhibit F'!R111+'Exhibit G State'!R96</f>
        <v>57</v>
      </c>
      <c r="R120" s="199"/>
      <c r="S120" s="199">
        <f>+'Exhibit F'!T111+'Exhibit G State'!T96</f>
        <v>93.700000000000045</v>
      </c>
      <c r="T120" s="199"/>
      <c r="U120" s="199">
        <f>+'Exhibit F'!V111+'Exhibit G State'!V96</f>
        <v>66.299999999999955</v>
      </c>
      <c r="V120" s="199"/>
      <c r="W120" s="199">
        <f>+'Exhibit F'!X111+'Exhibit G State'!X96</f>
        <v>108.10000000000002</v>
      </c>
      <c r="X120" s="199"/>
      <c r="Y120" s="199"/>
      <c r="Z120" s="199"/>
      <c r="AA120" s="200"/>
      <c r="AB120" s="274">
        <f t="shared" si="22"/>
        <v>857.2</v>
      </c>
      <c r="AC120" s="1261"/>
      <c r="AD120" s="882"/>
      <c r="AE120" s="274">
        <f>+'Exhibit F'!AF111+'Exhibit G State'!AF96</f>
        <v>581.20000000000005</v>
      </c>
      <c r="AF120" s="199"/>
      <c r="AG120" s="1622"/>
      <c r="AH120" s="199">
        <f t="shared" si="23"/>
        <v>276</v>
      </c>
      <c r="AI120" s="66"/>
      <c r="AJ120" s="293">
        <f t="shared" si="24"/>
        <v>0.47499999999999998</v>
      </c>
    </row>
    <row r="121" spans="1:38" ht="15.5">
      <c r="A121" s="773" t="s">
        <v>131</v>
      </c>
      <c r="B121" s="66"/>
      <c r="C121" s="199">
        <f>+'Exhibit F'!D112+'Exhibit G State'!D97</f>
        <v>72.3</v>
      </c>
      <c r="D121" s="199"/>
      <c r="E121" s="199">
        <f>+'Exhibit F'!F112+'Exhibit G State'!F97</f>
        <v>444.40000000000003</v>
      </c>
      <c r="F121" s="199"/>
      <c r="G121" s="199">
        <f>+'Exhibit F'!H112+'Exhibit G State'!H97</f>
        <v>423.70000000000005</v>
      </c>
      <c r="H121" s="199"/>
      <c r="I121" s="199">
        <f>+'Exhibit F'!J112+'Exhibit G State'!J97</f>
        <v>195.99999999999994</v>
      </c>
      <c r="J121" s="199"/>
      <c r="K121" s="199">
        <f>+'Exhibit F'!L112+'Exhibit G State'!L97</f>
        <v>172.6999999999999</v>
      </c>
      <c r="L121" s="199"/>
      <c r="M121" s="199">
        <f>+'Exhibit F'!N112+'Exhibit G State'!N97</f>
        <v>605.69999999999993</v>
      </c>
      <c r="N121" s="199"/>
      <c r="O121" s="199">
        <f>+'Exhibit F'!P112+'Exhibit G State'!P97</f>
        <v>1021.3000000000002</v>
      </c>
      <c r="P121" s="199"/>
      <c r="Q121" s="199">
        <f>+'Exhibit F'!R112+'Exhibit G State'!R97</f>
        <v>313.99999999999972</v>
      </c>
      <c r="R121" s="199"/>
      <c r="S121" s="199">
        <f>+'Exhibit F'!T112+'Exhibit G State'!T97</f>
        <v>548.10000000000014</v>
      </c>
      <c r="T121" s="199"/>
      <c r="U121" s="199">
        <f>+'Exhibit F'!V112+'Exhibit G State'!V97</f>
        <v>581.19999999999982</v>
      </c>
      <c r="V121" s="199"/>
      <c r="W121" s="199">
        <f>+'Exhibit F'!X112+'Exhibit G State'!X97</f>
        <v>218.10000000000053</v>
      </c>
      <c r="X121" s="199"/>
      <c r="Y121" s="199"/>
      <c r="Z121" s="199"/>
      <c r="AA121" s="200"/>
      <c r="AB121" s="274">
        <f t="shared" si="22"/>
        <v>4597.5</v>
      </c>
      <c r="AC121" s="1261"/>
      <c r="AD121" s="882"/>
      <c r="AE121" s="274">
        <f>+'Exhibit F'!AF112+'Exhibit G State'!AF97</f>
        <v>3928.6</v>
      </c>
      <c r="AF121" s="199"/>
      <c r="AG121" s="1622"/>
      <c r="AH121" s="199">
        <f t="shared" si="23"/>
        <v>668.9</v>
      </c>
      <c r="AI121" s="66"/>
      <c r="AJ121" s="293">
        <f t="shared" si="24"/>
        <v>0.17</v>
      </c>
    </row>
    <row r="122" spans="1:38" ht="15.5">
      <c r="A122" s="773" t="s">
        <v>132</v>
      </c>
      <c r="B122" s="66"/>
      <c r="C122" s="199">
        <f>+'Exhibit F'!D113+'Exhibit G State'!D98</f>
        <v>57.8</v>
      </c>
      <c r="D122" s="199"/>
      <c r="E122" s="199">
        <f>+'Exhibit F'!F113+'Exhibit G State'!F98</f>
        <v>10.400000000000002</v>
      </c>
      <c r="F122" s="199"/>
      <c r="G122" s="199">
        <f>+'Exhibit F'!H113+'Exhibit G State'!H98</f>
        <v>15</v>
      </c>
      <c r="H122" s="199"/>
      <c r="I122" s="199">
        <f>+'Exhibit F'!J113+'Exhibit G State'!J98</f>
        <v>15.099999999999987</v>
      </c>
      <c r="J122" s="199"/>
      <c r="K122" s="199">
        <f>+'Exhibit F'!L113+'Exhibit G State'!L98</f>
        <v>20.20000000000001</v>
      </c>
      <c r="L122" s="199"/>
      <c r="M122" s="199">
        <f>+'Exhibit F'!N113+'Exhibit G State'!N98</f>
        <v>21.800000000000004</v>
      </c>
      <c r="N122" s="199"/>
      <c r="O122" s="199">
        <f>+'Exhibit F'!P113+'Exhibit G State'!P98</f>
        <v>18.399999999999999</v>
      </c>
      <c r="P122" s="199"/>
      <c r="Q122" s="199">
        <f>+'Exhibit F'!R113+'Exhibit G State'!R98</f>
        <v>40.499999999999986</v>
      </c>
      <c r="R122" s="199"/>
      <c r="S122" s="199">
        <f>+'Exhibit F'!T113+'Exhibit G State'!T98</f>
        <v>25.100000000000009</v>
      </c>
      <c r="T122" s="199"/>
      <c r="U122" s="199">
        <f>+'Exhibit F'!V113+'Exhibit G State'!V98</f>
        <v>28.100000000000009</v>
      </c>
      <c r="V122" s="199"/>
      <c r="W122" s="199">
        <f>+'Exhibit F'!X113+'Exhibit G State'!X98</f>
        <v>25.899999999999984</v>
      </c>
      <c r="X122" s="199"/>
      <c r="Y122" s="199"/>
      <c r="Z122" s="199"/>
      <c r="AA122" s="200"/>
      <c r="AB122" s="274">
        <f t="shared" si="22"/>
        <v>278.3</v>
      </c>
      <c r="AC122" s="1261"/>
      <c r="AD122" s="882"/>
      <c r="AE122" s="274">
        <f>+'Exhibit F'!AF113+'Exhibit G State'!AF98</f>
        <v>247.3</v>
      </c>
      <c r="AF122" s="199"/>
      <c r="AG122" s="1622"/>
      <c r="AH122" s="199">
        <f t="shared" si="23"/>
        <v>31</v>
      </c>
      <c r="AI122" s="66"/>
      <c r="AJ122" s="293">
        <f t="shared" si="24"/>
        <v>0.125</v>
      </c>
    </row>
    <row r="123" spans="1:38" ht="15.5">
      <c r="A123" s="773" t="s">
        <v>133</v>
      </c>
      <c r="B123" s="66"/>
      <c r="C123" s="199">
        <f>+'Exhibit F'!D114+'Exhibit G State'!D99</f>
        <v>72.099999999999994</v>
      </c>
      <c r="D123" s="199"/>
      <c r="E123" s="199">
        <f>+'Exhibit F'!F114+'Exhibit G State'!F99</f>
        <v>665.59999999999991</v>
      </c>
      <c r="F123" s="199"/>
      <c r="G123" s="199">
        <f>+'Exhibit F'!H114+'Exhibit G State'!H99</f>
        <v>373.50000000000023</v>
      </c>
      <c r="H123" s="199"/>
      <c r="I123" s="199">
        <f>+'Exhibit F'!J114+'Exhibit G State'!J99</f>
        <v>394.59999999999991</v>
      </c>
      <c r="J123" s="199"/>
      <c r="K123" s="199">
        <f>+'Exhibit F'!L114+'Exhibit G State'!L99</f>
        <v>607.50000000000023</v>
      </c>
      <c r="L123" s="199"/>
      <c r="M123" s="199">
        <f>+'Exhibit F'!N114+'Exhibit G State'!N99</f>
        <v>374.5</v>
      </c>
      <c r="N123" s="199"/>
      <c r="O123" s="199">
        <f>+'Exhibit F'!P114+'Exhibit G State'!P99</f>
        <v>432.39999999999964</v>
      </c>
      <c r="P123" s="199"/>
      <c r="Q123" s="199">
        <f>+'Exhibit F'!R114+'Exhibit G State'!R99</f>
        <v>756.09999999999968</v>
      </c>
      <c r="R123" s="199"/>
      <c r="S123" s="199">
        <f>+'Exhibit F'!T114+'Exhibit G State'!T99</f>
        <v>1166.4999999999998</v>
      </c>
      <c r="T123" s="199"/>
      <c r="U123" s="199">
        <f>+'Exhibit F'!V114+'Exhibit G State'!V99</f>
        <v>70.400000000000546</v>
      </c>
      <c r="V123" s="199"/>
      <c r="W123" s="199">
        <f>+'Exhibit F'!X114+'Exhibit G State'!X99</f>
        <v>167.60000000000016</v>
      </c>
      <c r="X123" s="199"/>
      <c r="Y123" s="199"/>
      <c r="Z123" s="199"/>
      <c r="AA123" s="200"/>
      <c r="AB123" s="199">
        <f>ROUND(SUM(C123:Y123),1)</f>
        <v>5080.8</v>
      </c>
      <c r="AC123" s="1261"/>
      <c r="AD123" s="882"/>
      <c r="AE123" s="274">
        <f>+'Exhibit F'!AF114+'Exhibit G State'!AF99</f>
        <v>5036.2</v>
      </c>
      <c r="AF123" s="199"/>
      <c r="AG123" s="1622"/>
      <c r="AH123" s="199">
        <f>ROUND(SUM(AB123-AE123),1)</f>
        <v>44.6</v>
      </c>
      <c r="AI123" s="66"/>
      <c r="AJ123" s="293">
        <f t="shared" si="24"/>
        <v>8.9999999999999993E-3</v>
      </c>
    </row>
    <row r="124" spans="1:38" ht="15.5">
      <c r="A124" s="66" t="s">
        <v>134</v>
      </c>
      <c r="B124" s="66"/>
      <c r="C124" s="1048">
        <f>ROUND(SUM(C114:C123),1)</f>
        <v>6286.1</v>
      </c>
      <c r="D124" s="202"/>
      <c r="E124" s="1048">
        <f>ROUND(SUM(E114:E123),1)</f>
        <v>9944.2000000000007</v>
      </c>
      <c r="F124" s="202"/>
      <c r="G124" s="1048">
        <f>ROUND(SUM(G114:G123),1)</f>
        <v>6752.2</v>
      </c>
      <c r="H124" s="202"/>
      <c r="I124" s="1048">
        <f>ROUND(SUM(I114:I123),1)</f>
        <v>5610.1</v>
      </c>
      <c r="J124" s="202"/>
      <c r="K124" s="1048">
        <f>ROUND(SUM(K114:K123),1)</f>
        <v>4880.3999999999996</v>
      </c>
      <c r="L124" s="202"/>
      <c r="M124" s="1048">
        <f>ROUND(SUM(M114:M123),1)</f>
        <v>10847.7</v>
      </c>
      <c r="N124" s="202"/>
      <c r="O124" s="1048">
        <f>ROUND(SUM(O114:O123),1)</f>
        <v>7640.4</v>
      </c>
      <c r="P124" s="202"/>
      <c r="Q124" s="1048">
        <f>ROUND(SUM(Q114:Q123),1)</f>
        <v>6681.5</v>
      </c>
      <c r="R124" s="202"/>
      <c r="S124" s="1048">
        <f>ROUND(SUM(S114:S123),1)</f>
        <v>8284.4</v>
      </c>
      <c r="T124" s="202"/>
      <c r="U124" s="1048">
        <f>ROUND(SUM(U114:U123),1)</f>
        <v>7757.7</v>
      </c>
      <c r="V124" s="202"/>
      <c r="W124" s="1048">
        <f>ROUND(SUM(W114:W123),1)</f>
        <v>5136.2</v>
      </c>
      <c r="X124" s="202"/>
      <c r="Y124" s="1048">
        <f>ROUND(SUM(Y114:Y123),1)</f>
        <v>0</v>
      </c>
      <c r="Z124" s="202"/>
      <c r="AA124" s="1135"/>
      <c r="AB124" s="1048">
        <f>ROUND(SUM(AB114:AB123),1)</f>
        <v>79820.899999999994</v>
      </c>
      <c r="AC124" s="1262"/>
      <c r="AD124" s="885"/>
      <c r="AE124" s="72">
        <f>ROUND(SUM(AE114:AE123),1)</f>
        <v>73442</v>
      </c>
      <c r="AF124" s="202"/>
      <c r="AG124" s="1623"/>
      <c r="AH124" s="72">
        <f>ROUND(SUM(AH114:AH123),1)</f>
        <v>6378.9</v>
      </c>
      <c r="AI124" s="192"/>
      <c r="AJ124" s="427">
        <f t="shared" si="24"/>
        <v>8.6999999999999994E-2</v>
      </c>
      <c r="AK124" s="134"/>
      <c r="AL124" s="134"/>
    </row>
    <row r="125" spans="1:38" ht="15.5">
      <c r="A125" s="66" t="s">
        <v>135</v>
      </c>
      <c r="B125" s="66"/>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c r="AA125" s="200"/>
      <c r="AB125" s="199"/>
      <c r="AC125" s="199"/>
      <c r="AD125" s="882"/>
      <c r="AE125" s="274"/>
      <c r="AF125" s="199"/>
      <c r="AG125" s="1622"/>
      <c r="AH125" s="274"/>
      <c r="AI125" s="66"/>
      <c r="AJ125" s="278"/>
    </row>
    <row r="126" spans="1:38" ht="15.5">
      <c r="A126" s="66" t="s">
        <v>437</v>
      </c>
      <c r="B126" s="66"/>
      <c r="C126" s="199">
        <f>+'Exhibit F'!D117+'Exhibit G State'!D102</f>
        <v>1308.8</v>
      </c>
      <c r="D126" s="199"/>
      <c r="E126" s="199">
        <f>+'Exhibit F'!F117+'Exhibit G State'!F102</f>
        <v>1470.6</v>
      </c>
      <c r="F126" s="199"/>
      <c r="G126" s="199">
        <f>+'Exhibit F'!H117+'Exhibit G State'!H102</f>
        <v>1242.3000000000004</v>
      </c>
      <c r="H126" s="199"/>
      <c r="I126" s="199">
        <f>+'Exhibit F'!J117+'Exhibit G State'!J102</f>
        <v>1818.9999999999995</v>
      </c>
      <c r="J126" s="199"/>
      <c r="K126" s="199">
        <f>+'Exhibit F'!L117+'Exhibit G State'!L102</f>
        <v>1369.4999999999998</v>
      </c>
      <c r="L126" s="199"/>
      <c r="M126" s="199">
        <f>+'Exhibit F'!N117+'Exhibit G State'!N102</f>
        <v>1271.4999999999995</v>
      </c>
      <c r="N126" s="199"/>
      <c r="O126" s="199">
        <f>+'Exhibit F'!P117+'Exhibit G State'!P102</f>
        <v>1486.6</v>
      </c>
      <c r="P126" s="199"/>
      <c r="Q126" s="199">
        <f>+'Exhibit F'!R117+'Exhibit G State'!R102</f>
        <v>1303.3000000000006</v>
      </c>
      <c r="R126" s="199"/>
      <c r="S126" s="199">
        <f>+'Exhibit F'!T117+'Exhibit G State'!T102</f>
        <v>1750.9</v>
      </c>
      <c r="T126" s="199"/>
      <c r="U126" s="199">
        <f>+'Exhibit F'!V117+'Exhibit G State'!V102</f>
        <v>1247.3999999999996</v>
      </c>
      <c r="V126" s="199"/>
      <c r="W126" s="199">
        <f>+'Exhibit F'!X117+'Exhibit G State'!X102</f>
        <v>1304.0000000000018</v>
      </c>
      <c r="X126" s="199"/>
      <c r="Y126" s="199"/>
      <c r="Z126" s="199"/>
      <c r="AA126" s="200"/>
      <c r="AB126" s="199">
        <f>ROUND(SUM(C126:Y126),1)</f>
        <v>15573.9</v>
      </c>
      <c r="AC126" s="199"/>
      <c r="AD126" s="882"/>
      <c r="AE126" s="274">
        <f>+'Exhibit F'!AF117+'Exhibit G State'!AF102</f>
        <v>14566.7</v>
      </c>
      <c r="AF126" s="199"/>
      <c r="AG126" s="1622"/>
      <c r="AH126" s="199">
        <f>ROUND(SUM(AB126-AE126),1)</f>
        <v>1007.2</v>
      </c>
      <c r="AI126" s="66"/>
      <c r="AJ126" s="293">
        <f>ROUND(SUM(AH126/ABS(AE126)),3)</f>
        <v>6.9000000000000006E-2</v>
      </c>
    </row>
    <row r="127" spans="1:38" ht="15.5">
      <c r="A127" s="66" t="s">
        <v>438</v>
      </c>
      <c r="B127" s="66"/>
      <c r="C127" s="199">
        <f>+'Exhibit F'!D118+'Exhibit G State'!D103+'Exhibit H'!B59</f>
        <v>439.4</v>
      </c>
      <c r="D127" s="199"/>
      <c r="E127" s="199">
        <f>+'Exhibit F'!F118+'Exhibit G State'!F103+'Exhibit H'!D59</f>
        <v>603.40000000000009</v>
      </c>
      <c r="F127" s="199"/>
      <c r="G127" s="199">
        <f>+'Exhibit F'!H118+'Exhibit G State'!H103+'Exhibit H'!F59</f>
        <v>522.69999999999993</v>
      </c>
      <c r="H127" s="199"/>
      <c r="I127" s="199">
        <f>+'Exhibit F'!J118+'Exhibit G State'!J103+'Exhibit H'!H59</f>
        <v>633.19999999999993</v>
      </c>
      <c r="J127" s="199"/>
      <c r="K127" s="199">
        <f>+'Exhibit F'!L118+'Exhibit G State'!L103+'Exhibit H'!J59</f>
        <v>623.20000000000005</v>
      </c>
      <c r="L127" s="199"/>
      <c r="M127" s="199">
        <f>+'Exhibit F'!N118+'Exhibit G State'!N103+'Exhibit H'!L59</f>
        <v>489.39999999999992</v>
      </c>
      <c r="N127" s="199"/>
      <c r="O127" s="199">
        <f>+'Exhibit F'!P118+'Exhibit G State'!P103+'Exhibit H'!N59</f>
        <v>673.30000000000018</v>
      </c>
      <c r="P127" s="199"/>
      <c r="Q127" s="199">
        <f>+'Exhibit F'!R118+'Exhibit G State'!R103+'Exhibit H'!P59</f>
        <v>60.399999999999956</v>
      </c>
      <c r="R127" s="199"/>
      <c r="S127" s="199">
        <f>+'Exhibit F'!T118+'Exhibit G State'!T103+'Exhibit H'!R59</f>
        <v>524.69999999999982</v>
      </c>
      <c r="T127" s="199"/>
      <c r="U127" s="199">
        <f>+'Exhibit F'!V118+'Exhibit G State'!V103+'Exhibit H'!T59</f>
        <v>673</v>
      </c>
      <c r="V127" s="199"/>
      <c r="W127" s="199">
        <f>+'Exhibit F'!X118+'Exhibit G State'!X103+'Exhibit H'!V59</f>
        <v>666.20000000000027</v>
      </c>
      <c r="X127" s="199"/>
      <c r="Y127" s="199"/>
      <c r="Z127" s="199"/>
      <c r="AA127" s="200"/>
      <c r="AB127" s="199">
        <f>ROUND(SUM(C127:Y127),1)</f>
        <v>5908.9</v>
      </c>
      <c r="AC127" s="199"/>
      <c r="AD127" s="882"/>
      <c r="AE127" s="274">
        <f>+'Exhibit F'!AF118+'Exhibit G State'!AF103+'Exhibit H'!AD59</f>
        <v>5200</v>
      </c>
      <c r="AF127" s="199"/>
      <c r="AG127" s="1622"/>
      <c r="AH127" s="199">
        <f>ROUND(SUM(AB127-AE127),1)</f>
        <v>708.9</v>
      </c>
      <c r="AI127" s="66"/>
      <c r="AJ127" s="293">
        <f>ROUND(SUM(AH127/ABS(AE127)),3)</f>
        <v>0.13600000000000001</v>
      </c>
    </row>
    <row r="128" spans="1:38" ht="15.5">
      <c r="A128" s="66" t="s">
        <v>138</v>
      </c>
      <c r="B128" s="66"/>
      <c r="C128" s="199">
        <f>+'Exhibit F'!D119+'Exhibit G State'!D104</f>
        <v>685.2</v>
      </c>
      <c r="D128" s="199"/>
      <c r="E128" s="199">
        <f>+'Exhibit F'!F119+'Exhibit G State'!F104</f>
        <v>820.09999999999991</v>
      </c>
      <c r="F128" s="199"/>
      <c r="G128" s="199">
        <f>+'Exhibit F'!H119+'Exhibit G State'!H104</f>
        <v>626.79999999999995</v>
      </c>
      <c r="H128" s="199"/>
      <c r="I128" s="199">
        <f>+'Exhibit F'!J119+'Exhibit G State'!J104</f>
        <v>706.29999999999984</v>
      </c>
      <c r="J128" s="199"/>
      <c r="K128" s="199">
        <f>+'Exhibit F'!L119+'Exhibit G State'!L104</f>
        <v>591.1</v>
      </c>
      <c r="L128" s="199"/>
      <c r="M128" s="199">
        <f>+'Exhibit F'!N119+'Exhibit G State'!N104</f>
        <v>673.30000000000041</v>
      </c>
      <c r="N128" s="199"/>
      <c r="O128" s="199">
        <f>+'Exhibit F'!P119+'Exhibit G State'!P104</f>
        <v>715.59999999999911</v>
      </c>
      <c r="P128" s="199"/>
      <c r="Q128" s="199">
        <f>+'Exhibit F'!R119+'Exhibit G State'!R104</f>
        <v>600.70000000000073</v>
      </c>
      <c r="R128" s="199"/>
      <c r="S128" s="199">
        <f>+'Exhibit F'!T119+'Exhibit G State'!T104</f>
        <v>711.29999999999961</v>
      </c>
      <c r="T128" s="199"/>
      <c r="U128" s="199">
        <f>+'Exhibit F'!V119+'Exhibit G State'!V104</f>
        <v>844.60000000000036</v>
      </c>
      <c r="V128" s="199"/>
      <c r="W128" s="199">
        <f>+'Exhibit F'!X119+'Exhibit G State'!X104</f>
        <v>2082.2999999999997</v>
      </c>
      <c r="X128" s="199"/>
      <c r="Y128" s="199"/>
      <c r="Z128" s="199"/>
      <c r="AA128" s="200"/>
      <c r="AB128" s="199">
        <f>ROUND(SUM(C128:Y128),1)</f>
        <v>9057.2999999999993</v>
      </c>
      <c r="AC128" s="199"/>
      <c r="AD128" s="882"/>
      <c r="AE128" s="274">
        <f>+'Exhibit F'!AF119+'Exhibit G State'!AF104</f>
        <v>9259.6999999999989</v>
      </c>
      <c r="AF128" s="199"/>
      <c r="AG128" s="1622"/>
      <c r="AH128" s="199">
        <f>ROUND(SUM(AB128-AE128),1)</f>
        <v>-202.4</v>
      </c>
      <c r="AI128" s="66"/>
      <c r="AJ128" s="293">
        <f>ROUND(SUM(AH128/ABS(AE128)),3)</f>
        <v>-2.1999999999999999E-2</v>
      </c>
    </row>
    <row r="129" spans="1:44" ht="15.5">
      <c r="A129" s="66" t="s">
        <v>139</v>
      </c>
      <c r="B129" s="66"/>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c r="AA129" s="200"/>
      <c r="AB129" s="199"/>
      <c r="AC129" s="199"/>
      <c r="AD129" s="882"/>
      <c r="AE129" s="199"/>
      <c r="AF129" s="199"/>
      <c r="AG129" s="1622"/>
      <c r="AH129" s="199"/>
      <c r="AI129" s="66"/>
      <c r="AJ129" s="293"/>
    </row>
    <row r="130" spans="1:44" ht="15.5">
      <c r="A130" s="66" t="s">
        <v>1518</v>
      </c>
      <c r="B130" s="66"/>
      <c r="C130" s="199">
        <f>+'Exhibit H'!B61</f>
        <v>31.6</v>
      </c>
      <c r="D130" s="199"/>
      <c r="E130" s="199">
        <f>+'Exhibit H'!D61</f>
        <v>17.5</v>
      </c>
      <c r="F130" s="199"/>
      <c r="G130" s="199">
        <f>+'Exhibit H'!F61</f>
        <v>4.7999999999999972</v>
      </c>
      <c r="H130" s="199"/>
      <c r="I130" s="199">
        <f>+'Exhibit H'!H61</f>
        <v>4.3999999999999986</v>
      </c>
      <c r="J130" s="199"/>
      <c r="K130" s="199">
        <f>+'Exhibit H'!J61</f>
        <v>26.900000000000006</v>
      </c>
      <c r="L130" s="199"/>
      <c r="M130" s="199">
        <f>+'Exhibit H'!L61</f>
        <v>239.1</v>
      </c>
      <c r="N130" s="199"/>
      <c r="O130" s="199">
        <f>+'Exhibit H'!N61</f>
        <v>5</v>
      </c>
      <c r="P130" s="199"/>
      <c r="Q130" s="199">
        <f>+'Exhibit H'!P61</f>
        <v>19</v>
      </c>
      <c r="R130" s="199"/>
      <c r="S130" s="199">
        <f>+'Exhibit H'!R61</f>
        <v>4.6999999999999886</v>
      </c>
      <c r="T130" s="199"/>
      <c r="U130" s="199">
        <f>+'Exhibit H'!T61</f>
        <v>1.6999999999999886</v>
      </c>
      <c r="V130" s="199"/>
      <c r="W130" s="199">
        <f>+'Exhibit H'!V61</f>
        <v>127.10000000000002</v>
      </c>
      <c r="X130" s="199"/>
      <c r="Y130" s="199"/>
      <c r="Z130" s="199"/>
      <c r="AA130" s="200"/>
      <c r="AB130" s="199">
        <f>ROUND(SUM(C130:Y130),1)</f>
        <v>481.8</v>
      </c>
      <c r="AC130" s="199"/>
      <c r="AD130" s="882"/>
      <c r="AE130" s="274">
        <f>+'Exhibit H'!AD61</f>
        <v>869</v>
      </c>
      <c r="AF130" s="199"/>
      <c r="AG130" s="1622"/>
      <c r="AH130" s="199">
        <f>ROUND(SUM(AB130-AE130),1)</f>
        <v>-387.2</v>
      </c>
      <c r="AI130" s="66"/>
      <c r="AJ130" s="293">
        <f>ROUND(SUM(AH130/ABS(AE130)),3)</f>
        <v>-0.44600000000000001</v>
      </c>
    </row>
    <row r="131" spans="1:44" ht="15.5">
      <c r="A131" s="66" t="s">
        <v>440</v>
      </c>
      <c r="B131" s="66"/>
      <c r="C131" s="199">
        <f>'Exhibit G State'!D105</f>
        <v>0</v>
      </c>
      <c r="D131" s="199"/>
      <c r="E131" s="199">
        <f>'Exhibit G State'!F105</f>
        <v>0</v>
      </c>
      <c r="F131" s="199"/>
      <c r="G131" s="199">
        <f>'Exhibit G State'!H105</f>
        <v>0</v>
      </c>
      <c r="H131" s="199"/>
      <c r="I131" s="199">
        <f>'Exhibit G State'!J105</f>
        <v>0</v>
      </c>
      <c r="J131" s="199"/>
      <c r="K131" s="199">
        <f>'Exhibit G State'!L105</f>
        <v>0</v>
      </c>
      <c r="L131" s="199"/>
      <c r="M131" s="199">
        <f>'Exhibit G State'!N105</f>
        <v>0</v>
      </c>
      <c r="N131" s="199"/>
      <c r="O131" s="199">
        <f>'Exhibit G State'!P105</f>
        <v>0</v>
      </c>
      <c r="P131" s="199"/>
      <c r="Q131" s="199">
        <f>'Exhibit G State'!R105</f>
        <v>0</v>
      </c>
      <c r="R131" s="199"/>
      <c r="S131" s="199">
        <f>'Exhibit G State'!T105</f>
        <v>0</v>
      </c>
      <c r="T131" s="199"/>
      <c r="U131" s="199">
        <f>'Exhibit G State'!V105</f>
        <v>0</v>
      </c>
      <c r="V131" s="199"/>
      <c r="W131" s="199">
        <f>'Exhibit G State'!X105</f>
        <v>0</v>
      </c>
      <c r="X131" s="199"/>
      <c r="Y131" s="199"/>
      <c r="Z131" s="199"/>
      <c r="AA131" s="200"/>
      <c r="AB131" s="199">
        <f>ROUND(SUM(C131:Y131),1)</f>
        <v>0</v>
      </c>
      <c r="AC131" s="199"/>
      <c r="AD131" s="882"/>
      <c r="AE131" s="274">
        <f>+'Exhibit G'!AH107</f>
        <v>0</v>
      </c>
      <c r="AF131" s="199"/>
      <c r="AG131" s="1622"/>
      <c r="AH131" s="199">
        <f>ROUND(SUM(AB131-AE131),1)</f>
        <v>0</v>
      </c>
      <c r="AI131" s="66"/>
      <c r="AJ131" s="276">
        <f>ROUND(IF(AE131=0,0,AH131/ABS(AE131)),3)</f>
        <v>0</v>
      </c>
    </row>
    <row r="132" spans="1:44" ht="16.5" customHeight="1">
      <c r="A132" s="66"/>
      <c r="B132" s="66"/>
      <c r="C132" s="917"/>
      <c r="D132" s="199"/>
      <c r="E132" s="917"/>
      <c r="F132" s="199"/>
      <c r="G132" s="917"/>
      <c r="H132" s="199"/>
      <c r="I132" s="917"/>
      <c r="J132" s="199"/>
      <c r="K132" s="917"/>
      <c r="L132" s="199"/>
      <c r="M132" s="917"/>
      <c r="N132" s="199"/>
      <c r="O132" s="917"/>
      <c r="P132" s="199"/>
      <c r="Q132" s="917"/>
      <c r="R132" s="199"/>
      <c r="S132" s="917"/>
      <c r="T132" s="199"/>
      <c r="U132" s="917"/>
      <c r="V132" s="199"/>
      <c r="W132" s="917"/>
      <c r="X132" s="199"/>
      <c r="Y132" s="917"/>
      <c r="Z132" s="199"/>
      <c r="AA132" s="200"/>
      <c r="AB132" s="917"/>
      <c r="AC132" s="199"/>
      <c r="AD132" s="882"/>
      <c r="AE132" s="917"/>
      <c r="AF132" s="199"/>
      <c r="AG132" s="1622"/>
      <c r="AH132" s="917"/>
      <c r="AI132" s="66"/>
      <c r="AJ132" s="918"/>
    </row>
    <row r="133" spans="1:44" ht="16.5" customHeight="1">
      <c r="A133" s="40" t="s">
        <v>162</v>
      </c>
      <c r="B133" s="66"/>
      <c r="C133" s="775">
        <f>ROUND(SUM(C124:C131),1)</f>
        <v>8751.1</v>
      </c>
      <c r="D133" s="202"/>
      <c r="E133" s="775">
        <f>ROUND(SUM(E124:E131),1)</f>
        <v>12855.8</v>
      </c>
      <c r="F133" s="202"/>
      <c r="G133" s="775">
        <f>ROUND(SUM(G124:G131),1)</f>
        <v>9148.7999999999993</v>
      </c>
      <c r="H133" s="202"/>
      <c r="I133" s="775">
        <f>ROUND(SUM(I124:I131),1)</f>
        <v>8773</v>
      </c>
      <c r="J133" s="202"/>
      <c r="K133" s="775">
        <f>ROUND(SUM(K124:K131),1)</f>
        <v>7491.1</v>
      </c>
      <c r="L133" s="202"/>
      <c r="M133" s="775">
        <f>ROUND(SUM(M124:M131),1)</f>
        <v>13521</v>
      </c>
      <c r="N133" s="202"/>
      <c r="O133" s="775">
        <f>ROUND(SUM(O124:O131),1)</f>
        <v>10520.9</v>
      </c>
      <c r="P133" s="202"/>
      <c r="Q133" s="775">
        <f>ROUND(SUM(Q124:Q131),1)</f>
        <v>8664.9</v>
      </c>
      <c r="R133" s="202"/>
      <c r="S133" s="775">
        <f>ROUND(SUM(S124:S131),1)</f>
        <v>11276</v>
      </c>
      <c r="T133" s="202"/>
      <c r="U133" s="775">
        <f>ROUND(SUM(U124:U131),1)</f>
        <v>10524.4</v>
      </c>
      <c r="V133" s="202"/>
      <c r="W133" s="775">
        <f>ROUND(SUM(W124:W131),1)</f>
        <v>9315.7999999999993</v>
      </c>
      <c r="X133" s="202"/>
      <c r="Y133" s="775">
        <f>ROUND(SUM(Y124:Y131),1)</f>
        <v>0</v>
      </c>
      <c r="Z133" s="202"/>
      <c r="AA133" s="1135"/>
      <c r="AB133" s="775">
        <f>ROUND(SUM(AB124:AB131),1)</f>
        <v>110842.8</v>
      </c>
      <c r="AC133" s="202"/>
      <c r="AD133" s="885"/>
      <c r="AE133" s="367">
        <f>ROUND(SUM(AE124:AE132),1)</f>
        <v>103337.4</v>
      </c>
      <c r="AF133" s="202"/>
      <c r="AG133" s="1623"/>
      <c r="AH133" s="367">
        <f>ROUND(SUM(AH124:AH132),1)</f>
        <v>7505.4</v>
      </c>
      <c r="AI133" s="192"/>
      <c r="AJ133" s="378">
        <f>ROUND(SUM(AH133/ABS(AE133)),3)</f>
        <v>7.2999999999999995E-2</v>
      </c>
      <c r="AK133" s="134"/>
      <c r="AL133" s="134"/>
      <c r="AM133" s="134"/>
      <c r="AN133" s="134"/>
      <c r="AO133" s="134"/>
      <c r="AP133" s="134"/>
      <c r="AQ133" s="134"/>
      <c r="AR133" s="134"/>
    </row>
    <row r="134" spans="1:44" ht="16.5" customHeight="1">
      <c r="A134" s="40"/>
      <c r="B134" s="66"/>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c r="AA134" s="200"/>
      <c r="AB134" s="199"/>
      <c r="AC134" s="199"/>
      <c r="AD134" s="882"/>
      <c r="AE134" s="199"/>
      <c r="AF134" s="199"/>
      <c r="AG134" s="1622"/>
      <c r="AH134" s="274"/>
      <c r="AI134" s="66"/>
      <c r="AJ134" s="278"/>
    </row>
    <row r="135" spans="1:44" ht="16.5" customHeight="1">
      <c r="A135" s="40" t="s">
        <v>143</v>
      </c>
      <c r="B135" s="66"/>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c r="AA135" s="200"/>
      <c r="AB135" s="199"/>
      <c r="AC135" s="199"/>
      <c r="AD135" s="882"/>
      <c r="AE135" s="199"/>
      <c r="AF135" s="199"/>
      <c r="AG135" s="1622"/>
      <c r="AH135" s="274"/>
      <c r="AI135" s="66"/>
      <c r="AJ135" s="278"/>
    </row>
    <row r="136" spans="1:44" ht="16.5" customHeight="1">
      <c r="A136" s="40" t="s">
        <v>144</v>
      </c>
      <c r="B136" s="66"/>
      <c r="C136" s="775">
        <f>ROUND(SUM(C110-C133),1)</f>
        <v>4338.3999999999996</v>
      </c>
      <c r="D136" s="202"/>
      <c r="E136" s="775">
        <f>ROUND(SUM(E110-E133),1)</f>
        <v>-4653.3</v>
      </c>
      <c r="F136" s="202"/>
      <c r="G136" s="775">
        <f>ROUND(SUM(G110-G133),1)</f>
        <v>5629.7</v>
      </c>
      <c r="H136" s="202"/>
      <c r="I136" s="775">
        <f>ROUND(SUM(I110-I133),1)</f>
        <v>-395</v>
      </c>
      <c r="J136" s="202"/>
      <c r="K136" s="775">
        <f>ROUND(SUM(K110-K133),1)</f>
        <v>388.5</v>
      </c>
      <c r="L136" s="202"/>
      <c r="M136" s="775">
        <f>ROUND(SUM(M110-M133),1)</f>
        <v>1791.6</v>
      </c>
      <c r="N136" s="202"/>
      <c r="O136" s="775">
        <f>ROUND(SUM(O110-O133),1)</f>
        <v>-4189</v>
      </c>
      <c r="P136" s="202"/>
      <c r="Q136" s="775">
        <f>ROUND(SUM(Q110-Q133),1)</f>
        <v>-812.5</v>
      </c>
      <c r="R136" s="202"/>
      <c r="S136" s="775">
        <f>ROUND(SUM(S110-S133),1)</f>
        <v>9981</v>
      </c>
      <c r="T136" s="202"/>
      <c r="U136" s="775">
        <f>ROUND(SUM(U110-U133),1)</f>
        <v>4086.9</v>
      </c>
      <c r="V136" s="202"/>
      <c r="W136" s="775">
        <f>ROUND(SUM(W110-W133),1)</f>
        <v>1269.8</v>
      </c>
      <c r="X136" s="202"/>
      <c r="Y136" s="775">
        <f>ROUND(SUM(Y110-Y133),1)</f>
        <v>0</v>
      </c>
      <c r="Z136" s="202"/>
      <c r="AA136" s="1135"/>
      <c r="AB136" s="775">
        <f>ROUND(SUM(AB110-AB133),1)</f>
        <v>17436.099999999999</v>
      </c>
      <c r="AC136" s="202"/>
      <c r="AD136" s="885"/>
      <c r="AE136" s="775">
        <f>ROUND(SUM(AE110-AE133),1)</f>
        <v>12280.1</v>
      </c>
      <c r="AF136" s="202"/>
      <c r="AG136" s="1623"/>
      <c r="AH136" s="890">
        <f>ROUND(SUM(AB136-AE136),1)</f>
        <v>5156</v>
      </c>
      <c r="AI136" s="192"/>
      <c r="AJ136" s="625">
        <f>ROUND(SUM(AH136/ABS(AE136)),3)</f>
        <v>0.42</v>
      </c>
      <c r="AK136" s="134"/>
      <c r="AL136" s="134"/>
    </row>
    <row r="137" spans="1:44" ht="16.5" customHeight="1">
      <c r="A137" s="278"/>
      <c r="B137" s="66"/>
      <c r="C137" s="11"/>
      <c r="D137" s="199"/>
      <c r="E137" s="11"/>
      <c r="F137" s="199"/>
      <c r="G137" s="11"/>
      <c r="H137" s="199"/>
      <c r="I137" s="11"/>
      <c r="J137" s="199"/>
      <c r="K137" s="11"/>
      <c r="L137" s="199"/>
      <c r="M137" s="11"/>
      <c r="N137" s="199"/>
      <c r="O137" s="11"/>
      <c r="P137" s="199"/>
      <c r="Q137" s="11"/>
      <c r="R137" s="199"/>
      <c r="S137" s="11"/>
      <c r="T137" s="199"/>
      <c r="U137" s="11"/>
      <c r="V137" s="199"/>
      <c r="W137" s="11"/>
      <c r="X137" s="199"/>
      <c r="Y137" s="11"/>
      <c r="Z137" s="110"/>
      <c r="AA137" s="200"/>
      <c r="AB137" s="11"/>
      <c r="AC137" s="199"/>
      <c r="AD137" s="882"/>
      <c r="AE137" s="11"/>
      <c r="AF137" s="199"/>
      <c r="AG137" s="1622"/>
      <c r="AH137" s="274"/>
      <c r="AI137" s="66"/>
      <c r="AJ137" s="278"/>
    </row>
    <row r="138" spans="1:44" ht="16.5" customHeight="1">
      <c r="A138" s="40" t="s">
        <v>145</v>
      </c>
      <c r="B138" s="66"/>
      <c r="C138" s="199"/>
      <c r="D138" s="199"/>
      <c r="E138" s="199"/>
      <c r="F138" s="205"/>
      <c r="G138" s="199"/>
      <c r="H138" s="205"/>
      <c r="I138" s="205"/>
      <c r="J138" s="205"/>
      <c r="K138" s="205"/>
      <c r="L138" s="205"/>
      <c r="M138" s="205"/>
      <c r="N138" s="205"/>
      <c r="O138" s="205"/>
      <c r="P138" s="205"/>
      <c r="Q138" s="205"/>
      <c r="R138" s="205"/>
      <c r="S138" s="205"/>
      <c r="T138" s="205"/>
      <c r="U138" s="205"/>
      <c r="V138" s="199"/>
      <c r="W138" s="205"/>
      <c r="X138" s="199"/>
      <c r="Y138" s="205"/>
      <c r="Z138" s="1245"/>
      <c r="AA138" s="200"/>
      <c r="AB138" s="199"/>
      <c r="AC138" s="1245"/>
      <c r="AD138" s="199"/>
      <c r="AE138" s="199"/>
      <c r="AF138" s="199"/>
      <c r="AG138" s="1622"/>
      <c r="AH138" s="274"/>
      <c r="AI138" s="66"/>
      <c r="AJ138" s="278"/>
    </row>
    <row r="139" spans="1:44" ht="16.5" customHeight="1">
      <c r="A139" s="66" t="s">
        <v>284</v>
      </c>
      <c r="B139" s="66"/>
      <c r="C139" s="696">
        <f>+'Exhibit F'!D128+'Exhibit F'!D129+'Exhibit F'!D130+'Exhibit F'!D131+'Exhibit G State'!D113+'Exhibit H'!B69</f>
        <v>5214</v>
      </c>
      <c r="D139" s="696"/>
      <c r="E139" s="696">
        <f>+'Exhibit F'!F128+'Exhibit F'!F129+'Exhibit F'!F130+'Exhibit F'!F131+'Exhibit G State'!F113+'Exhibit H'!D69</f>
        <v>3534.1000000000004</v>
      </c>
      <c r="F139" s="696"/>
      <c r="G139" s="696">
        <f>+'Exhibit F'!H128+'Exhibit F'!H129+'Exhibit F'!H130+'Exhibit F'!H131+'Exhibit G State'!H113+'Exhibit H'!F69</f>
        <v>6455.7000000000016</v>
      </c>
      <c r="H139" s="199"/>
      <c r="I139" s="696">
        <f>+'Exhibit F'!J128+'Exhibit F'!J129+'Exhibit F'!J130+'Exhibit F'!J131+'Exhibit G State'!J113+'Exhibit H'!H69</f>
        <v>3359.3999999999978</v>
      </c>
      <c r="J139" s="199"/>
      <c r="K139" s="696">
        <f>+'Exhibit F'!L128+'Exhibit F'!L129+'Exhibit F'!L130+'Exhibit F'!L131+'Exhibit G State'!L113+'Exhibit H'!J69</f>
        <v>3054.0999999999967</v>
      </c>
      <c r="L139" s="199"/>
      <c r="M139" s="696">
        <f>+'Exhibit F'!N128+'Exhibit F'!N129+'Exhibit F'!N130+'Exhibit F'!N131+'Exhibit G State'!N113+'Exhibit H'!L69</f>
        <v>5685.8000000000047</v>
      </c>
      <c r="N139" s="199"/>
      <c r="O139" s="696">
        <f>+'Exhibit F'!P128+'Exhibit F'!P129+'Exhibit F'!P130+'Exhibit F'!P131+'Exhibit G State'!P113+'Exhibit H'!N69</f>
        <v>2166.5000000000036</v>
      </c>
      <c r="P139" s="199"/>
      <c r="Q139" s="696">
        <f>+'Exhibit F'!R128+'Exhibit F'!R129+'Exhibit F'!R130+'Exhibit F'!R131+'Exhibit G State'!R113+'Exhibit H'!P69</f>
        <v>3226.199999999998</v>
      </c>
      <c r="R139" s="696"/>
      <c r="S139" s="696">
        <f>+'Exhibit F'!T128+'Exhibit F'!T129+'Exhibit F'!T130+'Exhibit F'!T131+'Exhibit G State'!T113+'Exhibit H'!R69</f>
        <v>6811.2000000000044</v>
      </c>
      <c r="T139" s="696"/>
      <c r="U139" s="696">
        <f>+'Exhibit F'!V128+'Exhibit F'!V129+'Exhibit F'!V130+'Exhibit F'!V131+'Exhibit G State'!V113+'Exhibit H'!T69</f>
        <v>6814.590000000002</v>
      </c>
      <c r="V139" s="696"/>
      <c r="W139" s="696">
        <f>+'Exhibit F'!X128+'Exhibit F'!X129+'Exhibit F'!X130+'Exhibit F'!X131+'Exhibit G State'!X113+'Exhibit H'!V69</f>
        <v>3625.2099999999887</v>
      </c>
      <c r="X139" s="696"/>
      <c r="Y139" s="696"/>
      <c r="Z139" s="199"/>
      <c r="AA139" s="200"/>
      <c r="AB139" s="199">
        <f>ROUND(SUM(C139:Y139),1)</f>
        <v>49946.8</v>
      </c>
      <c r="AC139" s="199"/>
      <c r="AD139" s="200"/>
      <c r="AE139" s="199">
        <f>'Exhibit F'!AF128+'Exhibit F'!AF129+'Exhibit F'!AF130+'Exhibit F'!AF131+'Exhibit G State'!AF113+'Exhibit H'!AD69</f>
        <v>43548.2</v>
      </c>
      <c r="AF139" s="199"/>
      <c r="AG139" s="1622"/>
      <c r="AH139" s="199">
        <f>ROUND(SUM(AB139-AE139),1)</f>
        <v>6398.6</v>
      </c>
      <c r="AI139" s="66"/>
      <c r="AJ139" s="293">
        <f>ROUND(SUM(AH139/ABS(AE139)),3)</f>
        <v>0.14699999999999999</v>
      </c>
    </row>
    <row r="140" spans="1:44" ht="16.5" customHeight="1">
      <c r="A140" s="66" t="s">
        <v>285</v>
      </c>
      <c r="C140" s="776">
        <f>+'Exhibit F'!D132+'Exhibit F'!D133+'Exhibit F'!D134+'Exhibit F'!D135+'Exhibit G State'!D114+'Exhibit H'!B70</f>
        <v>-5217.6999999999989</v>
      </c>
      <c r="D140" s="696"/>
      <c r="E140" s="776">
        <f>+'Exhibit F'!F132+'Exhibit F'!F133+'Exhibit F'!F134+'Exhibit F'!F135+'Exhibit G State'!F114+'Exhibit H'!D70</f>
        <v>-2465.9000000000005</v>
      </c>
      <c r="F140" s="696"/>
      <c r="G140" s="776">
        <f>+'Exhibit F'!H132+'Exhibit F'!H133+'Exhibit F'!H134+'Exhibit F'!H135+'Exhibit G State'!H114+'Exhibit H'!F70</f>
        <v>-6850.0999999999995</v>
      </c>
      <c r="H140" s="11"/>
      <c r="I140" s="776">
        <f>+'Exhibit F'!J132+'Exhibit F'!J133+'Exhibit F'!J134+'Exhibit F'!J135+'Exhibit G State'!J114+'Exhibit H'!H70</f>
        <v>-3494.9000000000015</v>
      </c>
      <c r="J140" s="11"/>
      <c r="K140" s="776">
        <f>+'Exhibit F'!L132+'Exhibit F'!L133+'Exhibit F'!L134+'Exhibit F'!L135+'Exhibit G State'!L114+'Exhibit H'!J70</f>
        <v>-3656.8999999999996</v>
      </c>
      <c r="L140" s="11"/>
      <c r="M140" s="776">
        <f>+'Exhibit F'!N132+'Exhibit F'!N133+'Exhibit F'!N134+'Exhibit F'!N135+'Exhibit G State'!N114+'Exhibit H'!L70</f>
        <v>-6440.8000000000011</v>
      </c>
      <c r="N140" s="11"/>
      <c r="O140" s="776">
        <f>+'Exhibit F'!P132+'Exhibit F'!P133+'Exhibit F'!P134+'Exhibit F'!P135+'Exhibit G State'!P114+'Exhibit H'!N70</f>
        <v>-3310.2000000000003</v>
      </c>
      <c r="P140" s="11"/>
      <c r="Q140" s="776">
        <f>+'Exhibit F'!R132+'Exhibit F'!R133+'Exhibit F'!R134+'Exhibit F'!R135+'Exhibit G State'!R114+'Exhibit H'!P70</f>
        <v>-3691.699999999998</v>
      </c>
      <c r="R140" s="696"/>
      <c r="S140" s="776">
        <f>+'Exhibit F'!T132+'Exhibit F'!T133+'Exhibit F'!T134+'Exhibit F'!T135+'Exhibit G State'!T114+'Exhibit H'!R70</f>
        <v>-7678.4</v>
      </c>
      <c r="T140" s="696"/>
      <c r="U140" s="776">
        <f>+'Exhibit F'!V132+'Exhibit F'!V133+'Exhibit F'!V134+'Exhibit F'!V135+'Exhibit G State'!V114+'Exhibit H'!T70</f>
        <v>-6314.1000000000013</v>
      </c>
      <c r="V140" s="696"/>
      <c r="W140" s="776">
        <f>+'Exhibit F'!X132+'Exhibit F'!X133+'Exhibit F'!X134+'Exhibit F'!X135+'Exhibit G State'!X114+'Exhibit H'!V70</f>
        <v>-3826.1999999999971</v>
      </c>
      <c r="X140" s="696"/>
      <c r="Y140" s="776"/>
      <c r="Z140" s="11"/>
      <c r="AA140" s="206"/>
      <c r="AB140" s="201">
        <f>ROUND(SUM(C140:Y140),1)</f>
        <v>-52946.9</v>
      </c>
      <c r="AC140" s="11"/>
      <c r="AD140" s="206"/>
      <c r="AE140" s="201">
        <f>'Exhibit F'!AF132+'Exhibit F'!AF133+'Exhibit F'!AF134+'Exhibit F'!AF135+'Exhibit G State'!AF114+'Exhibit H'!AD70</f>
        <v>-45180.2</v>
      </c>
      <c r="AF140" s="11"/>
      <c r="AG140" s="1624"/>
      <c r="AH140" s="201">
        <f>ROUND(SUM(-AB140+AE140),1)</f>
        <v>7766.7</v>
      </c>
      <c r="AI140" s="278"/>
      <c r="AJ140" s="891">
        <f>ROUND(SUM(AH140/ABS(AE140)),3)</f>
        <v>0.17199999999999999</v>
      </c>
    </row>
    <row r="141" spans="1:44" ht="16.5" customHeight="1">
      <c r="A141" s="66"/>
      <c r="C141" s="199"/>
      <c r="D141" s="11"/>
      <c r="E141" s="199"/>
      <c r="F141" s="11"/>
      <c r="G141" s="199"/>
      <c r="H141" s="11"/>
      <c r="I141" s="199"/>
      <c r="J141" s="11"/>
      <c r="K141" s="199"/>
      <c r="L141" s="11"/>
      <c r="M141" s="199"/>
      <c r="N141" s="11"/>
      <c r="O141" s="199"/>
      <c r="P141" s="11"/>
      <c r="Q141" s="199"/>
      <c r="R141" s="11"/>
      <c r="S141" s="199"/>
      <c r="T141" s="11"/>
      <c r="U141" s="199"/>
      <c r="V141" s="11"/>
      <c r="W141" s="199"/>
      <c r="X141" s="11"/>
      <c r="Y141" s="199"/>
      <c r="Z141" s="11"/>
      <c r="AA141" s="206"/>
      <c r="AB141" s="199"/>
      <c r="AC141" s="11"/>
      <c r="AD141" s="206"/>
      <c r="AE141" s="199"/>
      <c r="AF141" s="11"/>
      <c r="AG141" s="1624"/>
      <c r="AH141" s="199"/>
      <c r="AI141" s="278"/>
      <c r="AJ141" s="293"/>
    </row>
    <row r="142" spans="1:44" ht="16.5" customHeight="1">
      <c r="A142" s="40" t="s">
        <v>150</v>
      </c>
      <c r="C142" s="775">
        <f>ROUND(SUM(C139:C140),1)</f>
        <v>-3.7</v>
      </c>
      <c r="D142" s="207"/>
      <c r="E142" s="775">
        <f>ROUND(SUM(E139:E140),1)</f>
        <v>1068.2</v>
      </c>
      <c r="F142" s="207"/>
      <c r="G142" s="775">
        <f>ROUND(SUM(G139:G140),1)</f>
        <v>-394.4</v>
      </c>
      <c r="H142" s="207"/>
      <c r="I142" s="775">
        <f>ROUND(SUM(I139:I140),1)</f>
        <v>-135.5</v>
      </c>
      <c r="J142" s="207"/>
      <c r="K142" s="775">
        <f>ROUND(SUM(K139:K140),1)</f>
        <v>-602.79999999999995</v>
      </c>
      <c r="L142" s="207"/>
      <c r="M142" s="775">
        <f>ROUND(SUM(M139:M140),1)</f>
        <v>-755</v>
      </c>
      <c r="N142" s="207"/>
      <c r="O142" s="775">
        <f>ROUND(SUM(O139:O140),1)</f>
        <v>-1143.7</v>
      </c>
      <c r="P142" s="207"/>
      <c r="Q142" s="775">
        <f>ROUND(SUM(Q139:Q140),1)</f>
        <v>-465.5</v>
      </c>
      <c r="R142" s="207"/>
      <c r="S142" s="775">
        <f>ROUND(SUM(S139:S140),1)</f>
        <v>-867.2</v>
      </c>
      <c r="T142" s="207"/>
      <c r="U142" s="775">
        <f>ROUND(SUM(U139:U140),1)</f>
        <v>500.5</v>
      </c>
      <c r="V142" s="207"/>
      <c r="W142" s="775">
        <f>ROUND(SUM(W139:W140),1)</f>
        <v>-201</v>
      </c>
      <c r="X142" s="207"/>
      <c r="Y142" s="775">
        <f>ROUND(SUM(Y139:Y140),1)</f>
        <v>0</v>
      </c>
      <c r="Z142" s="207"/>
      <c r="AA142" s="208"/>
      <c r="AB142" s="775">
        <f>ROUND(SUM(AB139:AB140),1)</f>
        <v>-3000.1</v>
      </c>
      <c r="AC142" s="207"/>
      <c r="AD142" s="208"/>
      <c r="AE142" s="775">
        <f>ROUND(SUM(AE139:AE140),1)</f>
        <v>-1632</v>
      </c>
      <c r="AF142" s="207"/>
      <c r="AG142" s="1624"/>
      <c r="AH142" s="775">
        <f>ROUND(SUM(AH139-AH140),1)</f>
        <v>-1368.1</v>
      </c>
      <c r="AI142" s="40"/>
      <c r="AJ142" s="625">
        <f>ROUND(SUM(AH142/ABS(AE142)),3)</f>
        <v>-0.83799999999999997</v>
      </c>
      <c r="AK142" s="134"/>
      <c r="AL142" s="134"/>
    </row>
    <row r="143" spans="1:44" ht="16.5" customHeight="1">
      <c r="A143" s="27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6"/>
      <c r="AB143" s="11"/>
      <c r="AC143" s="11"/>
      <c r="AD143" s="206"/>
      <c r="AE143" s="11"/>
      <c r="AF143" s="11"/>
      <c r="AG143" s="1625"/>
      <c r="AH143" s="274"/>
      <c r="AI143" s="278"/>
      <c r="AJ143" s="278"/>
    </row>
    <row r="144" spans="1:44" ht="16.5" customHeight="1">
      <c r="A144" s="40" t="s">
        <v>143</v>
      </c>
      <c r="C144" s="199"/>
      <c r="D144" s="11"/>
      <c r="E144" s="199"/>
      <c r="F144" s="11"/>
      <c r="G144" s="199"/>
      <c r="H144" s="11"/>
      <c r="I144" s="199"/>
      <c r="J144" s="11"/>
      <c r="K144" s="199"/>
      <c r="L144" s="11"/>
      <c r="M144" s="199"/>
      <c r="N144" s="11"/>
      <c r="O144" s="199"/>
      <c r="P144" s="11"/>
      <c r="Q144" s="199"/>
      <c r="R144" s="11"/>
      <c r="S144" s="199"/>
      <c r="T144" s="11"/>
      <c r="U144" s="199"/>
      <c r="V144" s="11"/>
      <c r="W144" s="199"/>
      <c r="X144" s="11"/>
      <c r="Y144" s="199"/>
      <c r="Z144" s="11"/>
      <c r="AA144" s="206"/>
      <c r="AB144" s="199"/>
      <c r="AC144" s="11"/>
      <c r="AD144" s="206"/>
      <c r="AE144" s="199"/>
      <c r="AF144" s="11"/>
      <c r="AG144" s="1626"/>
      <c r="AH144" s="274"/>
      <c r="AI144" s="278"/>
      <c r="AJ144" s="278"/>
    </row>
    <row r="145" spans="1:59" ht="16.5" customHeight="1">
      <c r="A145" s="40" t="s">
        <v>151</v>
      </c>
      <c r="C145" s="202"/>
      <c r="D145" s="207"/>
      <c r="E145" s="202"/>
      <c r="F145" s="207"/>
      <c r="G145" s="202"/>
      <c r="H145" s="207"/>
      <c r="I145" s="202"/>
      <c r="J145" s="207"/>
      <c r="K145" s="202"/>
      <c r="L145" s="207"/>
      <c r="M145" s="202"/>
      <c r="N145" s="207"/>
      <c r="O145" s="202"/>
      <c r="P145" s="207"/>
      <c r="Q145" s="202"/>
      <c r="R145" s="207"/>
      <c r="S145" s="202"/>
      <c r="T145" s="207"/>
      <c r="U145" s="202"/>
      <c r="V145" s="207"/>
      <c r="W145" s="202"/>
      <c r="X145" s="207"/>
      <c r="Y145" s="202"/>
      <c r="Z145" s="207"/>
      <c r="AA145" s="208"/>
      <c r="AB145" s="202"/>
      <c r="AC145" s="207"/>
      <c r="AD145" s="208"/>
      <c r="AE145" s="202"/>
      <c r="AF145" s="11"/>
      <c r="AG145" s="1626"/>
      <c r="AH145" s="13"/>
      <c r="AI145" s="40"/>
      <c r="AJ145" s="40"/>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row>
    <row r="146" spans="1:59" ht="16.5" customHeight="1">
      <c r="A146" s="40" t="s">
        <v>152</v>
      </c>
      <c r="C146" s="209">
        <f>ROUND(SUM(C136+C142),1)</f>
        <v>4334.7</v>
      </c>
      <c r="D146" s="207"/>
      <c r="E146" s="209">
        <f>ROUND(SUM(E136+E142),1)</f>
        <v>-3585.1</v>
      </c>
      <c r="F146" s="207"/>
      <c r="G146" s="209">
        <f>ROUND(SUM(G136+G142),1)</f>
        <v>5235.3</v>
      </c>
      <c r="H146" s="207"/>
      <c r="I146" s="209">
        <f>ROUND(SUM(I136+I142),1)</f>
        <v>-530.5</v>
      </c>
      <c r="J146" s="207"/>
      <c r="K146" s="209">
        <f>ROUND(SUM(K136+K142),1)</f>
        <v>-214.3</v>
      </c>
      <c r="L146" s="207"/>
      <c r="M146" s="209">
        <f>ROUND(SUM(M136+M142),1)</f>
        <v>1036.5999999999999</v>
      </c>
      <c r="N146" s="207"/>
      <c r="O146" s="209">
        <f>ROUND(SUM(O136+O142),1)</f>
        <v>-5332.7</v>
      </c>
      <c r="P146" s="207"/>
      <c r="Q146" s="209">
        <f>ROUND(SUM(Q136+Q142),1)</f>
        <v>-1278</v>
      </c>
      <c r="R146" s="207"/>
      <c r="S146" s="209">
        <f>ROUND(SUM(S136+S142),1)</f>
        <v>9113.7999999999993</v>
      </c>
      <c r="T146" s="207"/>
      <c r="U146" s="209">
        <f>ROUND(SUM(U136+U142),1)</f>
        <v>4587.3999999999996</v>
      </c>
      <c r="V146" s="207"/>
      <c r="W146" s="209">
        <f>ROUND(SUM(W136+W142),1)</f>
        <v>1068.8</v>
      </c>
      <c r="X146" s="207"/>
      <c r="Y146" s="209">
        <f>ROUND(SUM(Y136+Y142),1)</f>
        <v>0</v>
      </c>
      <c r="Z146" s="207"/>
      <c r="AA146" s="208"/>
      <c r="AB146" s="209">
        <f>ROUND(SUM(AB136+AB142),1)</f>
        <v>14436</v>
      </c>
      <c r="AC146" s="207"/>
      <c r="AD146" s="208"/>
      <c r="AE146" s="209">
        <f>ROUND(SUM(AE136+AE142),1)</f>
        <v>10648.1</v>
      </c>
      <c r="AF146" s="11"/>
      <c r="AG146" s="1626"/>
      <c r="AH146" s="890">
        <f>ROUND(SUM(AB146-AE146),1)</f>
        <v>3787.9</v>
      </c>
      <c r="AI146" s="40"/>
      <c r="AJ146" s="625">
        <f>ROUND(SUM(AH146/ABS(AE146)),3)</f>
        <v>0.35599999999999998</v>
      </c>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row>
    <row r="147" spans="1:59" ht="15.5">
      <c r="A147" s="40"/>
      <c r="C147" s="1038"/>
      <c r="E147" s="1038"/>
      <c r="G147" s="1038"/>
      <c r="I147" s="1038"/>
      <c r="K147" s="1038"/>
      <c r="M147" s="1038"/>
      <c r="O147" s="1038"/>
      <c r="Q147" s="1038"/>
      <c r="S147" s="1038"/>
      <c r="U147" s="1038"/>
      <c r="W147" s="1038"/>
      <c r="Y147" s="1038"/>
      <c r="AA147" s="210"/>
      <c r="AB147" s="1038"/>
      <c r="AD147" s="210"/>
      <c r="AE147" s="1049"/>
      <c r="AF147" s="11"/>
      <c r="AG147" s="1626"/>
      <c r="AH147" s="278"/>
      <c r="AI147" s="278"/>
      <c r="AJ147" s="278"/>
    </row>
    <row r="148" spans="1:59" ht="16" thickBot="1">
      <c r="A148" s="211" t="s">
        <v>441</v>
      </c>
      <c r="C148" s="212">
        <f>ROUND(SUM(C16+C146),1)</f>
        <v>60412</v>
      </c>
      <c r="D148" s="71"/>
      <c r="E148" s="212">
        <f>ROUND(SUM(E16+E146),1)</f>
        <v>56826.9</v>
      </c>
      <c r="F148" s="71"/>
      <c r="G148" s="212">
        <f>ROUND(SUM(G16+G146),1)</f>
        <v>62062.2</v>
      </c>
      <c r="H148" s="71"/>
      <c r="I148" s="212">
        <f>ROUND(SUM(I16+I146),1)</f>
        <v>61531.7</v>
      </c>
      <c r="J148" s="213"/>
      <c r="K148" s="212">
        <f>ROUND(SUM(K16+K146),1)</f>
        <v>61317.4</v>
      </c>
      <c r="L148" s="213"/>
      <c r="M148" s="212">
        <f>ROUND(SUM(M16+M146),1)</f>
        <v>62354</v>
      </c>
      <c r="N148" s="213"/>
      <c r="O148" s="212">
        <f>ROUND(SUM(O16+O146),1)</f>
        <v>57021.3</v>
      </c>
      <c r="P148" s="213"/>
      <c r="Q148" s="212">
        <f>ROUND(SUM(Q16+Q146),1)</f>
        <v>55743.3</v>
      </c>
      <c r="R148" s="213"/>
      <c r="S148" s="212">
        <f>ROUND(SUM(S16+S146),1)</f>
        <v>64857.1</v>
      </c>
      <c r="T148" s="213"/>
      <c r="U148" s="212">
        <f>ROUND(SUM(U16+U146),1)</f>
        <v>69444.5</v>
      </c>
      <c r="V148" s="213"/>
      <c r="W148" s="212">
        <f>ROUND(SUM(W16+W146),1)</f>
        <v>70513.3</v>
      </c>
      <c r="X148" s="213"/>
      <c r="Y148" s="212">
        <f>ROUND(SUM(Y16+Y146),1)</f>
        <v>0</v>
      </c>
      <c r="Z148" s="71"/>
      <c r="AA148" s="214"/>
      <c r="AB148" s="212">
        <f>ROUND(SUM(AB16+AB146),1)</f>
        <v>70513.3</v>
      </c>
      <c r="AC148" s="71"/>
      <c r="AD148" s="214"/>
      <c r="AE148" s="212">
        <f>ROUND(SUM(AE16+AE146),1)</f>
        <v>63371.9</v>
      </c>
      <c r="AF148" s="11"/>
      <c r="AG148" s="1626"/>
      <c r="AH148" s="212">
        <f>ROUND(SUM(AB148-AE148),1)</f>
        <v>7141.4</v>
      </c>
      <c r="AI148" s="40"/>
      <c r="AJ148" s="81">
        <f>ROUND(SUM(AH148/ABS(AE148)),3)</f>
        <v>0.113</v>
      </c>
      <c r="AK148" s="134"/>
    </row>
    <row r="149" spans="1:59" ht="16" thickTop="1">
      <c r="A149" s="215"/>
      <c r="AH149" s="278"/>
      <c r="AI149" s="278"/>
      <c r="AJ149" s="278"/>
    </row>
    <row r="150" spans="1:59" ht="15.5">
      <c r="A150" s="294" t="s">
        <v>447</v>
      </c>
      <c r="O150" s="62" t="s">
        <v>103</v>
      </c>
      <c r="AH150" s="278"/>
      <c r="AI150" s="278"/>
      <c r="AJ150" s="278"/>
    </row>
    <row r="151" spans="1:59" ht="15.5">
      <c r="A151" s="294" t="s">
        <v>448</v>
      </c>
      <c r="AB151" s="62" t="s">
        <v>103</v>
      </c>
      <c r="AH151" s="278"/>
      <c r="AI151" s="278"/>
      <c r="AJ151" s="278"/>
    </row>
    <row r="152" spans="1:59" ht="15.5">
      <c r="A152" s="439" t="s">
        <v>449</v>
      </c>
      <c r="AB152" s="62" t="s">
        <v>103</v>
      </c>
      <c r="AH152" s="278"/>
      <c r="AI152" s="278"/>
      <c r="AJ152" s="278"/>
    </row>
    <row r="153" spans="1:59" ht="16.5" customHeight="1">
      <c r="AH153" s="278"/>
      <c r="AI153" s="278"/>
      <c r="AJ153" s="278"/>
    </row>
    <row r="154" spans="1:59" ht="16.5" customHeight="1">
      <c r="AH154" s="278"/>
      <c r="AI154" s="278"/>
      <c r="AJ154" s="278"/>
    </row>
    <row r="155" spans="1:59" ht="16.5" customHeight="1">
      <c r="AH155" s="278"/>
      <c r="AI155" s="278"/>
      <c r="AJ155" s="278"/>
    </row>
    <row r="156" spans="1:59" ht="16.5" customHeight="1">
      <c r="AH156" s="278"/>
      <c r="AI156" s="278"/>
      <c r="AJ156" s="278"/>
    </row>
    <row r="157" spans="1:59" ht="16.5" customHeight="1">
      <c r="AH157" s="278"/>
      <c r="AI157" s="278"/>
      <c r="AJ157" s="278"/>
    </row>
    <row r="158" spans="1:59" ht="16.5" customHeight="1">
      <c r="AH158" s="278"/>
      <c r="AI158" s="278"/>
      <c r="AJ158" s="278"/>
    </row>
    <row r="159" spans="1:59" ht="16.5" customHeight="1">
      <c r="AH159" s="278"/>
      <c r="AI159" s="278"/>
      <c r="AJ159" s="278"/>
    </row>
    <row r="160" spans="1:59" ht="16.5" customHeight="1">
      <c r="AH160" s="278"/>
      <c r="AI160" s="278"/>
      <c r="AJ160" s="278"/>
    </row>
    <row r="161" spans="34:36" ht="16.5" customHeight="1">
      <c r="AH161" s="278"/>
      <c r="AI161" s="278"/>
      <c r="AJ161" s="278"/>
    </row>
    <row r="162" spans="34:36" ht="16.5" customHeight="1">
      <c r="AH162" s="278"/>
      <c r="AI162" s="278"/>
      <c r="AJ162" s="278"/>
    </row>
    <row r="163" spans="34:36" ht="16.5" customHeight="1">
      <c r="AH163" s="278"/>
      <c r="AI163" s="278"/>
      <c r="AJ163" s="278"/>
    </row>
    <row r="164" spans="34:36" ht="16.5" customHeight="1">
      <c r="AH164" s="278"/>
      <c r="AI164" s="278"/>
      <c r="AJ164" s="278"/>
    </row>
    <row r="165" spans="34:36" ht="16.5" customHeight="1">
      <c r="AH165" s="278"/>
      <c r="AI165" s="278"/>
      <c r="AJ165" s="278"/>
    </row>
    <row r="166" spans="34:36" ht="16.5" customHeight="1">
      <c r="AH166" s="278"/>
      <c r="AI166" s="278"/>
      <c r="AJ166" s="278"/>
    </row>
  </sheetData>
  <mergeCells count="2">
    <mergeCell ref="AC5:AJ5"/>
    <mergeCell ref="AB12:AJ12"/>
  </mergeCells>
  <printOptions horizontalCentered="1"/>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B26 AH24 AJ33 AJ97:AJ98" formula="1"/>
    <ignoredError sqref="AJ87 AJ69 AJ71:AJ72 AJ74:AJ77 AJ115 AJ38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90" zoomScaleNormal="80" workbookViewId="0"/>
  </sheetViews>
  <sheetFormatPr defaultColWidth="8.69140625" defaultRowHeight="12.5"/>
  <cols>
    <col min="1" max="1" width="2.53515625" style="60" customWidth="1"/>
    <col min="2" max="2" width="39.69140625" style="60" customWidth="1"/>
    <col min="3" max="3" width="1.07421875" style="60" customWidth="1"/>
    <col min="4" max="4" width="12.4609375" style="60" bestFit="1" customWidth="1"/>
    <col min="5" max="5" width="1.69140625" style="60" customWidth="1"/>
    <col min="6" max="6" width="12.69140625" style="60" bestFit="1" customWidth="1"/>
    <col min="7" max="7" width="1.69140625" style="60" customWidth="1"/>
    <col min="8" max="8" width="12.69140625" style="60" bestFit="1" customWidth="1"/>
    <col min="9" max="9" width="1.69140625" style="60" customWidth="1"/>
    <col min="10" max="10" width="13.69140625" style="712" customWidth="1"/>
    <col min="11" max="11" width="1.69140625" style="60" customWidth="1"/>
    <col min="12" max="12" width="12.69140625" style="60" bestFit="1" customWidth="1"/>
    <col min="13" max="13" width="1.69140625" style="60" customWidth="1"/>
    <col min="14" max="14" width="13.69140625" style="60" customWidth="1"/>
    <col min="15" max="15" width="1.69140625" style="60" customWidth="1"/>
    <col min="16" max="16" width="12.69140625" style="60" bestFit="1" customWidth="1"/>
    <col min="17" max="17" width="1.69140625" style="60" customWidth="1"/>
    <col min="18" max="18" width="12.07421875" style="60" customWidth="1"/>
    <col min="19" max="19" width="1.69140625" style="60" customWidth="1"/>
    <col min="20" max="20" width="14.69140625" style="60" customWidth="1"/>
    <col min="21" max="21" width="1.69140625" style="60" customWidth="1"/>
    <col min="22" max="22" width="12.07421875" style="60" customWidth="1"/>
    <col min="23" max="23" width="1.69140625" style="60" customWidth="1"/>
    <col min="24" max="24" width="12.69140625" style="60" customWidth="1"/>
    <col min="25" max="25" width="1.69140625" style="60" customWidth="1"/>
    <col min="26" max="26" width="14.53515625" style="60" customWidth="1"/>
    <col min="27" max="28" width="1.07421875" style="60" customWidth="1"/>
    <col min="29" max="29" width="13.07421875" style="60" customWidth="1"/>
    <col min="30" max="31" width="1.07421875" style="60" customWidth="1"/>
    <col min="32" max="32" width="15.07421875" style="60" customWidth="1"/>
    <col min="33" max="34" width="1.07421875" style="60" customWidth="1"/>
    <col min="35" max="35" width="13.07421875" style="60" customWidth="1"/>
    <col min="36" max="36" width="1" style="60" customWidth="1"/>
    <col min="37" max="37" width="13.69140625" style="713" customWidth="1"/>
    <col min="38" max="38" width="10.07421875" style="60" customWidth="1"/>
    <col min="39" max="39" width="8.69140625" style="60"/>
    <col min="40" max="41" width="4.69140625" style="60" customWidth="1"/>
    <col min="42" max="16384" width="8.69140625" style="60"/>
  </cols>
  <sheetData>
    <row r="1" spans="1:39" ht="15.5">
      <c r="B1" s="294" t="s">
        <v>97</v>
      </c>
    </row>
    <row r="2" spans="1:39">
      <c r="A2" s="67"/>
      <c r="B2" s="67"/>
      <c r="C2" s="67"/>
      <c r="D2" s="67"/>
      <c r="E2" s="67"/>
      <c r="F2" s="67"/>
      <c r="G2" s="67"/>
      <c r="H2" s="67"/>
      <c r="I2" s="67"/>
      <c r="J2" s="433"/>
      <c r="K2" s="67"/>
      <c r="L2" s="67"/>
      <c r="M2" s="67"/>
      <c r="N2" s="67"/>
      <c r="O2" s="67"/>
      <c r="P2" s="67"/>
      <c r="Q2" s="67"/>
      <c r="R2" s="67"/>
      <c r="S2" s="67"/>
      <c r="T2" s="67"/>
      <c r="U2" s="67"/>
      <c r="V2" s="67"/>
      <c r="W2" s="67"/>
      <c r="X2" s="67"/>
      <c r="Y2" s="67"/>
      <c r="Z2" s="67"/>
      <c r="AA2" s="67"/>
      <c r="AB2" s="67"/>
      <c r="AC2" s="67"/>
      <c r="AD2" s="67"/>
      <c r="AE2" s="67"/>
      <c r="AF2" s="67"/>
      <c r="AG2" s="67"/>
    </row>
    <row r="3" spans="1:39" ht="18">
      <c r="A3" s="67"/>
      <c r="B3" s="68" t="s">
        <v>98</v>
      </c>
      <c r="C3" s="67"/>
      <c r="D3" s="67"/>
      <c r="E3" s="67"/>
      <c r="F3" s="39"/>
      <c r="G3" s="67"/>
      <c r="H3" s="67"/>
      <c r="I3" s="67"/>
      <c r="J3" s="433"/>
      <c r="K3" s="67"/>
      <c r="L3" s="67"/>
      <c r="M3" s="3"/>
      <c r="N3" s="61"/>
      <c r="O3" s="67"/>
      <c r="P3" s="67"/>
      <c r="Q3" s="67"/>
      <c r="R3" s="67"/>
      <c r="S3" s="67"/>
      <c r="T3" s="67"/>
      <c r="U3" s="67"/>
      <c r="V3" s="67"/>
      <c r="W3" s="67"/>
      <c r="X3" s="67"/>
      <c r="Y3" s="67"/>
      <c r="Z3" s="67"/>
      <c r="AA3" s="67"/>
      <c r="AB3" s="67"/>
      <c r="AC3" s="67"/>
      <c r="AD3" s="67"/>
      <c r="AE3" s="67"/>
      <c r="AF3" s="67"/>
      <c r="AG3" s="67"/>
      <c r="AK3" s="70" t="s">
        <v>450</v>
      </c>
    </row>
    <row r="4" spans="1:39" ht="18">
      <c r="A4" s="67"/>
      <c r="B4" s="69" t="s">
        <v>451</v>
      </c>
      <c r="C4" s="67"/>
      <c r="D4" s="67"/>
      <c r="E4" s="67"/>
      <c r="F4" s="39"/>
      <c r="G4" s="67"/>
      <c r="H4" s="67" t="s">
        <v>103</v>
      </c>
      <c r="I4" s="67"/>
      <c r="J4" s="433"/>
      <c r="K4" s="67"/>
      <c r="L4" s="67"/>
      <c r="M4" s="3"/>
      <c r="N4" s="61"/>
      <c r="O4" s="67"/>
      <c r="P4" s="67"/>
      <c r="Q4" s="67"/>
      <c r="R4" s="67"/>
      <c r="S4" s="67"/>
      <c r="T4" s="67"/>
      <c r="U4" s="67"/>
      <c r="V4" s="67"/>
      <c r="W4" s="67"/>
      <c r="X4" s="67"/>
      <c r="Y4" s="67"/>
      <c r="Z4" s="67"/>
      <c r="AA4" s="67"/>
      <c r="AB4" s="67"/>
      <c r="AC4" s="714"/>
      <c r="AD4" s="714"/>
      <c r="AE4" s="714"/>
      <c r="AF4" s="714"/>
      <c r="AG4" s="714"/>
    </row>
    <row r="5" spans="1:39" ht="18">
      <c r="A5" s="67"/>
      <c r="B5" s="69" t="s">
        <v>452</v>
      </c>
      <c r="C5" s="67"/>
      <c r="D5" s="67"/>
      <c r="E5" s="67"/>
      <c r="F5" s="39"/>
      <c r="G5" s="67"/>
      <c r="H5" s="67"/>
      <c r="I5" s="67"/>
      <c r="J5" s="433"/>
      <c r="K5" s="67"/>
      <c r="L5" s="67"/>
      <c r="M5" s="3"/>
      <c r="N5" s="61"/>
      <c r="O5" s="67"/>
      <c r="P5" s="67"/>
      <c r="Q5" s="67"/>
      <c r="R5" s="67"/>
      <c r="S5" s="67"/>
      <c r="T5" s="67"/>
      <c r="U5" s="67"/>
      <c r="V5" s="67"/>
      <c r="W5" s="67"/>
      <c r="X5" s="67"/>
      <c r="Y5" s="67"/>
      <c r="Z5" s="67"/>
      <c r="AA5" s="67"/>
      <c r="AB5" s="67"/>
      <c r="AD5" s="874"/>
      <c r="AE5" s="874"/>
    </row>
    <row r="6" spans="1:39" ht="18" customHeight="1">
      <c r="A6" s="67"/>
      <c r="B6" s="551" t="str">
        <f>'Cashflow Governmental'!A6</f>
        <v>FISCAL YEAR 2024-2025</v>
      </c>
      <c r="C6" s="67"/>
      <c r="D6" s="67"/>
      <c r="E6" s="67"/>
      <c r="F6" s="39"/>
      <c r="G6" s="67"/>
      <c r="H6" s="67"/>
      <c r="I6" s="67"/>
      <c r="J6" s="433"/>
      <c r="K6" s="67"/>
      <c r="L6" s="67"/>
      <c r="M6" s="3"/>
      <c r="N6" s="61"/>
      <c r="O6" s="67"/>
      <c r="P6" s="67"/>
      <c r="Q6" s="67"/>
      <c r="R6" s="67"/>
      <c r="S6" s="67"/>
      <c r="T6" s="67"/>
      <c r="U6" s="67"/>
      <c r="V6" s="67"/>
      <c r="W6" s="67"/>
      <c r="X6" s="67"/>
      <c r="Y6" s="67"/>
      <c r="Z6" s="67"/>
      <c r="AA6" s="67"/>
      <c r="AB6" s="67"/>
      <c r="AC6" s="67"/>
      <c r="AD6" s="67"/>
      <c r="AE6" s="67"/>
      <c r="AF6" s="67"/>
      <c r="AG6" s="67"/>
    </row>
    <row r="7" spans="1:39" ht="15" customHeight="1">
      <c r="A7" s="67"/>
      <c r="B7" s="69" t="s">
        <v>102</v>
      </c>
      <c r="C7" s="67"/>
      <c r="D7" s="67"/>
      <c r="E7" s="67"/>
      <c r="F7" s="39"/>
      <c r="G7" s="67"/>
      <c r="H7" s="67"/>
      <c r="I7" s="67"/>
      <c r="J7" s="433"/>
      <c r="K7" s="67"/>
      <c r="L7" s="61"/>
      <c r="M7" s="3"/>
      <c r="N7" s="67"/>
      <c r="O7" s="67"/>
      <c r="P7" s="1309"/>
      <c r="Q7" s="67"/>
      <c r="R7" s="67"/>
      <c r="S7" s="67"/>
      <c r="T7" s="67"/>
      <c r="U7" s="67"/>
      <c r="V7" s="67"/>
      <c r="W7" s="67"/>
      <c r="X7" s="67"/>
      <c r="Y7" s="67"/>
      <c r="Z7" s="67"/>
      <c r="AA7" s="67"/>
      <c r="AB7" s="67"/>
      <c r="AC7" s="67"/>
      <c r="AD7" s="67"/>
      <c r="AE7" s="67"/>
      <c r="AF7" s="67"/>
      <c r="AG7" s="67"/>
    </row>
    <row r="8" spans="1:39" ht="15" customHeight="1">
      <c r="A8" s="67"/>
      <c r="B8" s="69"/>
      <c r="C8" s="67"/>
      <c r="D8" s="67"/>
      <c r="E8" s="67"/>
      <c r="F8" s="39"/>
      <c r="G8" s="67"/>
      <c r="H8" s="67"/>
      <c r="I8" s="67"/>
      <c r="J8" s="433"/>
      <c r="K8" s="67"/>
      <c r="L8" s="61"/>
      <c r="M8" s="3"/>
      <c r="N8" s="67"/>
      <c r="O8" s="67"/>
      <c r="P8" s="1309"/>
      <c r="Q8" s="67"/>
      <c r="R8" s="67"/>
      <c r="S8" s="67"/>
      <c r="T8" s="67"/>
      <c r="U8" s="67"/>
      <c r="V8" s="67"/>
      <c r="W8" s="67"/>
      <c r="X8" s="67"/>
      <c r="Y8" s="67"/>
      <c r="Z8" s="67"/>
      <c r="AA8" s="67"/>
      <c r="AB8" s="67"/>
      <c r="AC8" s="67"/>
      <c r="AD8" s="67"/>
      <c r="AE8" s="67"/>
      <c r="AF8" s="67"/>
      <c r="AG8" s="67"/>
    </row>
    <row r="9" spans="1:39" ht="15.5">
      <c r="A9" s="67"/>
      <c r="B9" s="67"/>
      <c r="C9" s="67"/>
      <c r="D9" s="1148"/>
      <c r="E9" s="67"/>
      <c r="F9" s="39"/>
      <c r="G9" s="67"/>
      <c r="H9" s="67"/>
      <c r="I9" s="67"/>
      <c r="J9" s="433"/>
      <c r="K9" s="67"/>
      <c r="L9" s="67"/>
      <c r="M9" s="67"/>
      <c r="N9" s="67"/>
      <c r="O9" s="67"/>
      <c r="P9" s="67"/>
      <c r="Q9" s="67"/>
      <c r="R9" s="67"/>
      <c r="S9" s="67"/>
      <c r="T9" s="67"/>
      <c r="U9" s="67"/>
      <c r="V9" s="67"/>
      <c r="W9" s="67"/>
      <c r="X9" s="67"/>
      <c r="Y9" s="67"/>
      <c r="Z9" s="67"/>
      <c r="AA9" s="67"/>
      <c r="AB9" s="2124" t="str">
        <f>'Cashflow Governmental'!$AB$12</f>
        <v>11 Months Ended February 28</v>
      </c>
      <c r="AC9" s="2124"/>
      <c r="AD9" s="2124"/>
      <c r="AE9" s="2124"/>
      <c r="AF9" s="2124"/>
      <c r="AG9" s="2124"/>
      <c r="AH9" s="2124"/>
      <c r="AI9" s="2124"/>
      <c r="AJ9" s="2124"/>
      <c r="AK9" s="2124"/>
    </row>
    <row r="10" spans="1:39" ht="15" customHeight="1">
      <c r="A10" s="67"/>
      <c r="B10" s="374"/>
      <c r="C10" s="374"/>
      <c r="D10" s="1140" t="str">
        <f>'Cashflow Governmental'!C13</f>
        <v>2024</v>
      </c>
      <c r="E10" s="192"/>
      <c r="F10" s="192"/>
      <c r="G10" s="192"/>
      <c r="H10" s="192"/>
      <c r="I10" s="192"/>
      <c r="J10" s="192"/>
      <c r="K10" s="192"/>
      <c r="L10" s="192"/>
      <c r="M10" s="192"/>
      <c r="N10" s="192"/>
      <c r="O10" s="192"/>
      <c r="P10" s="192"/>
      <c r="Q10" s="192"/>
      <c r="R10" s="192"/>
      <c r="S10" s="192"/>
      <c r="T10" s="192"/>
      <c r="U10" s="192"/>
      <c r="V10" s="570">
        <f>'Cashflow Governmental'!U13</f>
        <v>2025</v>
      </c>
      <c r="W10" s="192"/>
      <c r="X10" s="192"/>
      <c r="Y10" s="192"/>
      <c r="Z10" s="192"/>
      <c r="AA10" s="61"/>
      <c r="AB10" s="3"/>
      <c r="AC10" s="61"/>
      <c r="AD10" s="3"/>
      <c r="AE10" s="3"/>
      <c r="AF10" s="61"/>
      <c r="AG10" s="61"/>
      <c r="AH10" s="63"/>
      <c r="AI10" s="329" t="s">
        <v>110</v>
      </c>
      <c r="AJ10" s="61"/>
      <c r="AK10" s="330" t="s">
        <v>111</v>
      </c>
    </row>
    <row r="11" spans="1:39" ht="15" customHeight="1">
      <c r="A11" s="67"/>
      <c r="B11" s="374"/>
      <c r="C11" s="374"/>
      <c r="D11" s="55" t="s">
        <v>336</v>
      </c>
      <c r="E11" s="3"/>
      <c r="F11" s="1141" t="s">
        <v>337</v>
      </c>
      <c r="G11" s="3"/>
      <c r="H11" s="1141" t="s">
        <v>338</v>
      </c>
      <c r="I11" s="3"/>
      <c r="J11" s="17" t="s">
        <v>339</v>
      </c>
      <c r="K11" s="3"/>
      <c r="L11" s="330" t="s">
        <v>340</v>
      </c>
      <c r="M11" s="3"/>
      <c r="N11" s="330" t="s">
        <v>453</v>
      </c>
      <c r="O11" s="3"/>
      <c r="P11" s="330" t="s">
        <v>454</v>
      </c>
      <c r="Q11" s="3"/>
      <c r="R11" s="330" t="s">
        <v>343</v>
      </c>
      <c r="S11" s="3"/>
      <c r="T11" s="330" t="s">
        <v>344</v>
      </c>
      <c r="U11" s="3"/>
      <c r="V11" s="330" t="s">
        <v>345</v>
      </c>
      <c r="W11" s="3"/>
      <c r="X11" s="330" t="s">
        <v>346</v>
      </c>
      <c r="Y11" s="3"/>
      <c r="Z11" s="330" t="s">
        <v>455</v>
      </c>
      <c r="AA11" s="330"/>
      <c r="AB11" s="3"/>
      <c r="AC11" s="1050" t="str">
        <f>'Cashflow Governmental'!AB14</f>
        <v>2025</v>
      </c>
      <c r="AD11" s="3" t="s">
        <v>103</v>
      </c>
      <c r="AE11" s="3"/>
      <c r="AF11" s="1050" t="str">
        <f>'Cashflow Governmental'!AE14</f>
        <v>2024</v>
      </c>
      <c r="AG11" s="715"/>
      <c r="AH11" s="63"/>
      <c r="AI11" s="1251" t="s">
        <v>112</v>
      </c>
      <c r="AJ11" s="61"/>
      <c r="AK11" s="1016" t="s">
        <v>113</v>
      </c>
    </row>
    <row r="12" spans="1:39" ht="5.25" customHeight="1">
      <c r="A12" s="67"/>
      <c r="B12" s="374"/>
      <c r="C12" s="374"/>
      <c r="D12" s="1015" t="s">
        <v>103</v>
      </c>
      <c r="E12" s="374"/>
      <c r="F12" s="1142"/>
      <c r="G12" s="374"/>
      <c r="H12" s="1015"/>
      <c r="I12" s="374"/>
      <c r="J12" s="629"/>
      <c r="K12" s="374"/>
      <c r="L12" s="1015"/>
      <c r="M12" s="374"/>
      <c r="N12" s="1015"/>
      <c r="O12" s="374"/>
      <c r="P12" s="1015"/>
      <c r="Q12" s="374"/>
      <c r="R12" s="1015"/>
      <c r="S12" s="374"/>
      <c r="T12" s="1015"/>
      <c r="U12" s="374"/>
      <c r="V12" s="1015"/>
      <c r="W12" s="374"/>
      <c r="X12" s="1015"/>
      <c r="Y12" s="374"/>
      <c r="Z12" s="1015"/>
      <c r="AA12" s="374"/>
      <c r="AB12" s="374"/>
      <c r="AC12" s="374"/>
      <c r="AD12" s="374"/>
      <c r="AE12" s="374"/>
      <c r="AF12" s="374"/>
      <c r="AG12" s="374"/>
    </row>
    <row r="13" spans="1:39" ht="15" customHeight="1">
      <c r="A13" s="35"/>
      <c r="B13" s="6" t="s">
        <v>348</v>
      </c>
      <c r="C13" s="301"/>
      <c r="D13" s="87">
        <v>46330.9</v>
      </c>
      <c r="E13" s="87"/>
      <c r="F13" s="87">
        <f>D144</f>
        <v>49055</v>
      </c>
      <c r="G13" s="87"/>
      <c r="H13" s="87">
        <f>F144</f>
        <v>45547.8</v>
      </c>
      <c r="I13" s="45"/>
      <c r="J13" s="87">
        <f>H144</f>
        <v>49584.9</v>
      </c>
      <c r="K13" s="45"/>
      <c r="L13" s="87">
        <f>J144</f>
        <v>48710</v>
      </c>
      <c r="M13" s="45"/>
      <c r="N13" s="87">
        <f>L144</f>
        <v>47927.3</v>
      </c>
      <c r="O13" s="45"/>
      <c r="P13" s="87">
        <f>N144</f>
        <v>52397.7</v>
      </c>
      <c r="Q13" s="45"/>
      <c r="R13" s="87">
        <f>P144</f>
        <v>46864.9</v>
      </c>
      <c r="S13" s="20"/>
      <c r="T13" s="87">
        <f>R144</f>
        <v>45553.7</v>
      </c>
      <c r="U13" s="20"/>
      <c r="V13" s="87">
        <f>T144</f>
        <v>55244</v>
      </c>
      <c r="W13" s="20"/>
      <c r="X13" s="87">
        <f>V144</f>
        <v>58098.6</v>
      </c>
      <c r="Y13" s="20"/>
      <c r="Z13" s="87"/>
      <c r="AA13" s="45"/>
      <c r="AB13" s="717"/>
      <c r="AC13" s="20">
        <f>D13</f>
        <v>46330.9</v>
      </c>
      <c r="AD13" s="45"/>
      <c r="AE13" s="717"/>
      <c r="AF13" s="2073">
        <v>43450.6</v>
      </c>
      <c r="AG13" s="45"/>
      <c r="AH13" s="718"/>
      <c r="AI13" s="20">
        <f>ROUND(SUM(+AC13-AF13),1)</f>
        <v>2880.3</v>
      </c>
      <c r="AJ13" s="719"/>
      <c r="AK13" s="291">
        <f>ROUND(IF(AF13=0,0,AI13/ABS(AF13)),3)</f>
        <v>6.6000000000000003E-2</v>
      </c>
      <c r="AL13" s="1611"/>
      <c r="AM13" s="1611"/>
    </row>
    <row r="14" spans="1:39" ht="15" customHeight="1">
      <c r="A14" s="35"/>
      <c r="B14" s="301"/>
      <c r="C14" s="301"/>
      <c r="D14" s="301"/>
      <c r="E14" s="301"/>
      <c r="F14" s="395"/>
      <c r="G14" s="301"/>
      <c r="H14" s="395"/>
      <c r="I14" s="301"/>
      <c r="J14" s="395"/>
      <c r="K14" s="301"/>
      <c r="L14" s="395"/>
      <c r="M14" s="301"/>
      <c r="N14" s="374"/>
      <c r="O14" s="301"/>
      <c r="P14" s="374"/>
      <c r="Q14" s="301"/>
      <c r="R14" s="374"/>
      <c r="S14" s="301"/>
      <c r="T14" s="374"/>
      <c r="U14" s="301"/>
      <c r="V14" s="374"/>
      <c r="W14" s="301"/>
      <c r="X14" s="374"/>
      <c r="Y14" s="301"/>
      <c r="Z14" s="374"/>
      <c r="AA14" s="374"/>
      <c r="AB14" s="875"/>
      <c r="AC14" s="374"/>
      <c r="AD14" s="301"/>
      <c r="AE14" s="875"/>
      <c r="AF14" s="374"/>
      <c r="AG14" s="374"/>
      <c r="AH14" s="716"/>
      <c r="AI14" s="67"/>
      <c r="AJ14" s="67"/>
      <c r="AK14" s="338"/>
      <c r="AL14" s="1611"/>
      <c r="AM14" s="1611"/>
    </row>
    <row r="15" spans="1:39" ht="15" customHeight="1">
      <c r="A15" s="35"/>
      <c r="B15" s="3" t="s">
        <v>114</v>
      </c>
      <c r="C15" s="301"/>
      <c r="D15" s="301"/>
      <c r="E15" s="301"/>
      <c r="F15" s="374"/>
      <c r="G15" s="301"/>
      <c r="H15" s="374"/>
      <c r="I15" s="301"/>
      <c r="J15" s="374"/>
      <c r="K15" s="301"/>
      <c r="L15" s="374"/>
      <c r="M15" s="301"/>
      <c r="N15" s="374"/>
      <c r="O15" s="301"/>
      <c r="P15" s="374"/>
      <c r="Q15" s="301"/>
      <c r="R15" s="374"/>
      <c r="S15" s="301"/>
      <c r="T15" s="374"/>
      <c r="U15" s="301"/>
      <c r="V15" s="374"/>
      <c r="W15" s="301"/>
      <c r="X15" s="374"/>
      <c r="Y15" s="301"/>
      <c r="Z15" s="374"/>
      <c r="AA15" s="374"/>
      <c r="AB15" s="875"/>
      <c r="AC15" s="374"/>
      <c r="AD15" s="301"/>
      <c r="AE15" s="875"/>
      <c r="AF15" s="374"/>
      <c r="AG15" s="374"/>
      <c r="AH15" s="716"/>
      <c r="AI15" s="67"/>
      <c r="AJ15" s="67"/>
      <c r="AK15" s="338"/>
      <c r="AL15" s="1611"/>
      <c r="AM15" s="1611"/>
    </row>
    <row r="16" spans="1:39" ht="15" customHeight="1">
      <c r="A16" s="35"/>
      <c r="B16" s="1248" t="s">
        <v>349</v>
      </c>
      <c r="C16" s="301"/>
      <c r="D16" s="301"/>
      <c r="E16" s="301"/>
      <c r="F16" s="374"/>
      <c r="G16" s="301"/>
      <c r="H16" s="374"/>
      <c r="I16" s="301"/>
      <c r="J16" s="374"/>
      <c r="K16" s="301"/>
      <c r="L16" s="374"/>
      <c r="M16" s="301"/>
      <c r="N16" s="374"/>
      <c r="O16" s="301"/>
      <c r="P16" s="374"/>
      <c r="Q16" s="301"/>
      <c r="R16" s="374"/>
      <c r="S16" s="301"/>
      <c r="T16" s="374"/>
      <c r="U16" s="301"/>
      <c r="V16" s="374"/>
      <c r="W16" s="301"/>
      <c r="X16" s="374"/>
      <c r="Y16" s="301"/>
      <c r="Z16" s="374"/>
      <c r="AA16" s="374"/>
      <c r="AB16" s="875"/>
      <c r="AC16" s="374"/>
      <c r="AD16" s="301"/>
      <c r="AE16" s="875"/>
      <c r="AF16" s="374"/>
      <c r="AG16" s="374"/>
      <c r="AH16" s="716"/>
      <c r="AI16" s="67"/>
      <c r="AJ16" s="67"/>
      <c r="AK16" s="338"/>
      <c r="AL16" s="1611"/>
      <c r="AM16" s="1611"/>
    </row>
    <row r="17" spans="1:39" ht="15" customHeight="1">
      <c r="A17" s="35"/>
      <c r="B17" s="423" t="s">
        <v>443</v>
      </c>
      <c r="C17" s="301"/>
      <c r="D17" s="301"/>
      <c r="E17" s="301"/>
      <c r="F17" s="374"/>
      <c r="G17" s="301"/>
      <c r="H17" s="374"/>
      <c r="I17" s="301"/>
      <c r="J17" s="374"/>
      <c r="K17" s="301"/>
      <c r="L17" s="374"/>
      <c r="M17" s="301"/>
      <c r="N17" s="374"/>
      <c r="O17" s="301"/>
      <c r="P17" s="374"/>
      <c r="Q17" s="301"/>
      <c r="R17" s="374"/>
      <c r="S17" s="301"/>
      <c r="T17" s="374"/>
      <c r="U17" s="301"/>
      <c r="V17" s="374"/>
      <c r="W17" s="301"/>
      <c r="X17" s="374"/>
      <c r="Y17" s="301"/>
      <c r="Z17" s="374"/>
      <c r="AA17" s="374"/>
      <c r="AB17" s="875"/>
      <c r="AC17" s="374"/>
      <c r="AD17" s="301"/>
      <c r="AE17" s="875"/>
      <c r="AF17" s="374"/>
      <c r="AG17" s="374"/>
      <c r="AH17" s="716"/>
      <c r="AI17" s="67"/>
      <c r="AJ17" s="67"/>
      <c r="AK17" s="338"/>
      <c r="AL17" s="1611"/>
      <c r="AM17" s="1611"/>
    </row>
    <row r="18" spans="1:39" ht="15" customHeight="1">
      <c r="A18" s="35"/>
      <c r="B18" s="294" t="s">
        <v>351</v>
      </c>
      <c r="C18" s="301"/>
      <c r="D18" s="542">
        <v>4294.5</v>
      </c>
      <c r="E18" s="523"/>
      <c r="F18" s="542">
        <v>4554.5</v>
      </c>
      <c r="G18" s="523"/>
      <c r="H18" s="542">
        <v>3816.2999999999993</v>
      </c>
      <c r="I18" s="537"/>
      <c r="J18" s="542">
        <v>4306.1000000000022</v>
      </c>
      <c r="K18" s="523"/>
      <c r="L18" s="542">
        <v>3966</v>
      </c>
      <c r="M18" s="565"/>
      <c r="N18" s="542">
        <v>3815.5999999999985</v>
      </c>
      <c r="O18" s="565"/>
      <c r="P18" s="542">
        <v>4235.2000000000007</v>
      </c>
      <c r="Q18" s="565"/>
      <c r="R18" s="542">
        <v>4177.9999999999964</v>
      </c>
      <c r="S18" s="523"/>
      <c r="T18" s="542">
        <v>5668.8000000000029</v>
      </c>
      <c r="U18" s="523"/>
      <c r="V18" s="542">
        <v>6780.4000000000015</v>
      </c>
      <c r="W18" s="523"/>
      <c r="X18" s="542">
        <f>$AC18-SUM($D18:V18)</f>
        <v>7382.5999999999985</v>
      </c>
      <c r="Y18" s="523"/>
      <c r="Z18" s="542"/>
      <c r="AA18" s="299"/>
      <c r="AB18" s="535"/>
      <c r="AC18" s="542">
        <v>52998</v>
      </c>
      <c r="AD18" s="274"/>
      <c r="AE18" s="535" t="s">
        <v>103</v>
      </c>
      <c r="AF18" s="542">
        <v>48602.6</v>
      </c>
      <c r="AG18" s="374"/>
      <c r="AH18" s="716"/>
      <c r="AI18" s="274">
        <f>ROUND(SUM(+AC18-AF18),1)</f>
        <v>4395.3999999999996</v>
      </c>
      <c r="AJ18" s="67"/>
      <c r="AK18" s="276">
        <f t="shared" ref="AK18:AK22" si="0">ROUND(IF(AF18=0,0,AI18/ABS(AF18)),3)</f>
        <v>0.09</v>
      </c>
      <c r="AL18" s="1884"/>
      <c r="AM18" s="1611"/>
    </row>
    <row r="19" spans="1:39" ht="15" customHeight="1">
      <c r="A19" s="35"/>
      <c r="B19" s="294" t="s">
        <v>352</v>
      </c>
      <c r="C19" s="301"/>
      <c r="D19" s="542">
        <v>5344.2</v>
      </c>
      <c r="E19" s="523"/>
      <c r="F19" s="542">
        <v>102.10000000000036</v>
      </c>
      <c r="G19" s="523"/>
      <c r="H19" s="542">
        <v>1571.6999999999998</v>
      </c>
      <c r="I19" s="301"/>
      <c r="J19" s="542">
        <v>118.5</v>
      </c>
      <c r="K19" s="565"/>
      <c r="L19" s="542">
        <v>98.800000000000182</v>
      </c>
      <c r="M19" s="565"/>
      <c r="N19" s="542">
        <v>1801.5999999999995</v>
      </c>
      <c r="O19" s="565"/>
      <c r="P19" s="542">
        <v>177.60000000000036</v>
      </c>
      <c r="Q19" s="565"/>
      <c r="R19" s="542">
        <v>93.5</v>
      </c>
      <c r="S19" s="523"/>
      <c r="T19" s="542">
        <v>232.29999999999927</v>
      </c>
      <c r="U19" s="565"/>
      <c r="V19" s="542">
        <v>2523.8000000000011</v>
      </c>
      <c r="W19" s="523"/>
      <c r="X19" s="542">
        <f>$AC19-SUM($D19:V19)</f>
        <v>118.69999999999891</v>
      </c>
      <c r="Y19" s="565"/>
      <c r="Z19" s="542"/>
      <c r="AA19" s="299"/>
      <c r="AB19" s="535"/>
      <c r="AC19" s="542">
        <v>12182.8</v>
      </c>
      <c r="AD19" s="274"/>
      <c r="AE19" s="535" t="s">
        <v>103</v>
      </c>
      <c r="AF19" s="542">
        <v>10685.8</v>
      </c>
      <c r="AG19" s="374"/>
      <c r="AH19" s="716"/>
      <c r="AI19" s="274">
        <f>ROUND(SUM(+AC19-AF19),1)</f>
        <v>1497</v>
      </c>
      <c r="AJ19" s="67"/>
      <c r="AK19" s="553">
        <f t="shared" si="0"/>
        <v>0.14000000000000001</v>
      </c>
      <c r="AL19" s="1884"/>
      <c r="AM19" s="1611"/>
    </row>
    <row r="20" spans="1:39" ht="15" customHeight="1">
      <c r="A20" s="35"/>
      <c r="B20" s="294" t="s">
        <v>353</v>
      </c>
      <c r="C20" s="301"/>
      <c r="D20" s="542">
        <v>2160</v>
      </c>
      <c r="E20" s="523"/>
      <c r="F20" s="542">
        <v>95.5</v>
      </c>
      <c r="G20" s="523"/>
      <c r="H20" s="542">
        <v>68.800000000000182</v>
      </c>
      <c r="I20" s="301"/>
      <c r="J20" s="542">
        <v>70.199999999999818</v>
      </c>
      <c r="K20" s="565"/>
      <c r="L20" s="542">
        <v>60.800000000000182</v>
      </c>
      <c r="M20" s="565"/>
      <c r="N20" s="542">
        <v>104.19999999999982</v>
      </c>
      <c r="O20" s="565"/>
      <c r="P20" s="542">
        <v>672.70000000000027</v>
      </c>
      <c r="Q20" s="565"/>
      <c r="R20" s="542">
        <v>54.499999999999545</v>
      </c>
      <c r="S20" s="523"/>
      <c r="T20" s="542">
        <v>37.300000000000182</v>
      </c>
      <c r="U20" s="565"/>
      <c r="V20" s="542">
        <v>32.599999999999909</v>
      </c>
      <c r="W20" s="523"/>
      <c r="X20" s="542">
        <f>$AC20-SUM($D20:V20)</f>
        <v>105.80000000000018</v>
      </c>
      <c r="Y20" s="565"/>
      <c r="Z20" s="542"/>
      <c r="AA20" s="299"/>
      <c r="AB20" s="535"/>
      <c r="AC20" s="542">
        <v>3462.4</v>
      </c>
      <c r="AD20" s="274"/>
      <c r="AE20" s="535" t="s">
        <v>103</v>
      </c>
      <c r="AF20" s="542">
        <v>3527</v>
      </c>
      <c r="AG20" s="374"/>
      <c r="AH20" s="716"/>
      <c r="AI20" s="274">
        <f>ROUND(SUM(+AC20-AF20),1)</f>
        <v>-64.599999999999994</v>
      </c>
      <c r="AJ20" s="67"/>
      <c r="AK20" s="276">
        <f t="shared" si="0"/>
        <v>-1.7999999999999999E-2</v>
      </c>
      <c r="AL20" s="1884"/>
      <c r="AM20" s="1611"/>
    </row>
    <row r="21" spans="1:39" s="1240" customFormat="1" ht="15" customHeight="1">
      <c r="A21" s="1231"/>
      <c r="B21" s="1232" t="s">
        <v>354</v>
      </c>
      <c r="C21" s="1233"/>
      <c r="D21" s="542">
        <v>-480</v>
      </c>
      <c r="E21" s="1136"/>
      <c r="F21" s="542">
        <v>-45.100000000000023</v>
      </c>
      <c r="G21" s="1136"/>
      <c r="H21" s="542">
        <v>-37.799999999999955</v>
      </c>
      <c r="I21" s="1233"/>
      <c r="J21" s="542">
        <v>-38</v>
      </c>
      <c r="K21" s="1234"/>
      <c r="L21" s="542">
        <v>-43</v>
      </c>
      <c r="M21" s="1234"/>
      <c r="N21" s="542">
        <v>-89.600000000000023</v>
      </c>
      <c r="O21" s="1234"/>
      <c r="P21" s="542">
        <v>-425.40000000000009</v>
      </c>
      <c r="Q21" s="1234"/>
      <c r="R21" s="542">
        <v>-64.099999999999909</v>
      </c>
      <c r="S21" s="1136"/>
      <c r="T21" s="542">
        <v>-0.90000000000009095</v>
      </c>
      <c r="U21" s="1234"/>
      <c r="V21" s="542">
        <v>-8.5999999999999091</v>
      </c>
      <c r="W21" s="1136"/>
      <c r="X21" s="542">
        <f>$AC21-SUM($D21:V21)</f>
        <v>-54.400000000000091</v>
      </c>
      <c r="Y21" s="1234"/>
      <c r="Z21" s="542"/>
      <c r="AA21" s="1235"/>
      <c r="AB21" s="1236"/>
      <c r="AC21" s="1224">
        <v>-1286.9000000000001</v>
      </c>
      <c r="AD21" s="1225"/>
      <c r="AE21" s="1236" t="s">
        <v>103</v>
      </c>
      <c r="AF21" s="1224">
        <v>-1156.7</v>
      </c>
      <c r="AG21" s="1237"/>
      <c r="AH21" s="1238"/>
      <c r="AI21" s="1225">
        <f>-ROUND(SUM(+AC21-AF21),1)</f>
        <v>130.19999999999999</v>
      </c>
      <c r="AJ21" s="1239"/>
      <c r="AK21" s="1223">
        <f t="shared" si="0"/>
        <v>0.113</v>
      </c>
      <c r="AL21" s="1884"/>
      <c r="AM21" s="1611"/>
    </row>
    <row r="22" spans="1:39" ht="15" customHeight="1">
      <c r="A22" s="35"/>
      <c r="B22" s="431" t="s">
        <v>355</v>
      </c>
      <c r="C22" s="301"/>
      <c r="D22" s="542">
        <v>231.9</v>
      </c>
      <c r="E22" s="523"/>
      <c r="F22" s="542">
        <v>135.9</v>
      </c>
      <c r="G22" s="523"/>
      <c r="H22" s="542">
        <v>117.19999999999999</v>
      </c>
      <c r="I22" s="301"/>
      <c r="J22" s="542">
        <v>132.9</v>
      </c>
      <c r="K22" s="565"/>
      <c r="L22" s="542">
        <v>110.20000000000007</v>
      </c>
      <c r="M22" s="565"/>
      <c r="N22" s="542">
        <v>105</v>
      </c>
      <c r="O22" s="565"/>
      <c r="P22" s="542">
        <v>150.39999999999998</v>
      </c>
      <c r="Q22" s="565"/>
      <c r="R22" s="542">
        <v>190</v>
      </c>
      <c r="S22" s="523"/>
      <c r="T22" s="542">
        <v>166.29999999999995</v>
      </c>
      <c r="U22" s="565"/>
      <c r="V22" s="542">
        <v>141.20000000000005</v>
      </c>
      <c r="W22" s="523"/>
      <c r="X22" s="542">
        <f>$AC22-SUM($D22:V22)</f>
        <v>160.40000000000009</v>
      </c>
      <c r="Y22" s="565"/>
      <c r="Z22" s="542"/>
      <c r="AA22" s="299"/>
      <c r="AB22" s="535"/>
      <c r="AC22" s="542">
        <v>1641.4</v>
      </c>
      <c r="AD22" s="274"/>
      <c r="AE22" s="535" t="s">
        <v>103</v>
      </c>
      <c r="AF22" s="542">
        <v>1563.3</v>
      </c>
      <c r="AG22" s="374"/>
      <c r="AH22" s="716"/>
      <c r="AI22" s="274">
        <f>ROUND(SUM(+AC22-AF22),1)</f>
        <v>78.099999999999994</v>
      </c>
      <c r="AJ22" s="67"/>
      <c r="AK22" s="276">
        <f t="shared" si="0"/>
        <v>0.05</v>
      </c>
      <c r="AL22" s="1884"/>
      <c r="AM22" s="1611"/>
    </row>
    <row r="23" spans="1:39" ht="15" customHeight="1">
      <c r="A23" s="35"/>
      <c r="B23" s="295" t="s">
        <v>356</v>
      </c>
      <c r="C23" s="301"/>
      <c r="D23" s="687">
        <f>ROUND(SUM(D18:D22),1)</f>
        <v>11550.6</v>
      </c>
      <c r="E23" s="301"/>
      <c r="F23" s="687">
        <f>ROUND(SUM(F18:F22),1)</f>
        <v>4842.8999999999996</v>
      </c>
      <c r="G23" s="301"/>
      <c r="H23" s="687">
        <f>ROUND(SUM(H18:H22),1)</f>
        <v>5536.2</v>
      </c>
      <c r="I23" s="301"/>
      <c r="J23" s="687">
        <f>ROUND(SUM(J18:J22),1)</f>
        <v>4589.7</v>
      </c>
      <c r="K23" s="301"/>
      <c r="L23" s="687">
        <f>ROUND(SUM(L18:L22),1)</f>
        <v>4192.8</v>
      </c>
      <c r="M23" s="301"/>
      <c r="N23" s="687">
        <f>ROUND(SUM(N18:N22),1)</f>
        <v>5736.8</v>
      </c>
      <c r="O23" s="274"/>
      <c r="P23" s="687">
        <f>ROUND(SUM(P18:P22),1)</f>
        <v>4810.5</v>
      </c>
      <c r="Q23" s="274"/>
      <c r="R23" s="687">
        <f>ROUND(SUM(R18:R22),1)</f>
        <v>4451.8999999999996</v>
      </c>
      <c r="S23" s="13"/>
      <c r="T23" s="687">
        <f>ROUND(SUM(T18:T22),1)</f>
        <v>6103.8</v>
      </c>
      <c r="U23" s="274"/>
      <c r="V23" s="687">
        <f>ROUND(SUM(V18:V22),1)</f>
        <v>9469.4</v>
      </c>
      <c r="W23" s="274"/>
      <c r="X23" s="687">
        <f>ROUND(SUM(X18:X22),1)</f>
        <v>7713.1</v>
      </c>
      <c r="Y23" s="274"/>
      <c r="Z23" s="687">
        <f>ROUND(SUM(Z18:Z22),1)</f>
        <v>0</v>
      </c>
      <c r="AA23" s="374"/>
      <c r="AB23" s="875"/>
      <c r="AC23" s="687">
        <f>ROUND(SUM(AC18:AC22),1)</f>
        <v>68997.7</v>
      </c>
      <c r="AD23" s="301"/>
      <c r="AE23" s="875" t="s">
        <v>103</v>
      </c>
      <c r="AF23" s="687">
        <f>ROUND(SUM(AF18:AF22),1)</f>
        <v>63222</v>
      </c>
      <c r="AG23" s="374"/>
      <c r="AH23" s="716"/>
      <c r="AI23" s="687">
        <f>ROUND(SUM(AC23-AF23),1)</f>
        <v>5775.7</v>
      </c>
      <c r="AJ23" s="67"/>
      <c r="AK23" s="946">
        <f>ROUND(SUM(+AI23/AF23),3)</f>
        <v>9.0999999999999998E-2</v>
      </c>
      <c r="AL23" s="1884"/>
      <c r="AM23" s="1611"/>
    </row>
    <row r="24" spans="1:39" ht="15" customHeight="1">
      <c r="A24" s="35"/>
      <c r="B24" s="431" t="s">
        <v>357</v>
      </c>
      <c r="C24" s="301"/>
      <c r="D24" s="542">
        <v>0</v>
      </c>
      <c r="E24" s="523"/>
      <c r="F24" s="542">
        <v>0</v>
      </c>
      <c r="G24" s="523"/>
      <c r="H24" s="542">
        <v>0</v>
      </c>
      <c r="I24" s="301"/>
      <c r="J24" s="542">
        <v>0</v>
      </c>
      <c r="K24" s="565"/>
      <c r="L24" s="542">
        <v>0</v>
      </c>
      <c r="M24" s="565"/>
      <c r="N24" s="542">
        <v>0</v>
      </c>
      <c r="O24" s="565"/>
      <c r="P24" s="542">
        <v>0</v>
      </c>
      <c r="Q24" s="565"/>
      <c r="R24" s="542">
        <v>0</v>
      </c>
      <c r="S24" s="565"/>
      <c r="T24" s="542">
        <v>-1.1000000000000001</v>
      </c>
      <c r="U24" s="565"/>
      <c r="V24" s="542">
        <v>-1443</v>
      </c>
      <c r="W24" s="565"/>
      <c r="X24" s="542">
        <f>$AC24-SUM($D24:V24)</f>
        <v>0</v>
      </c>
      <c r="Y24" s="565"/>
      <c r="Z24" s="542"/>
      <c r="AA24" s="299"/>
      <c r="AB24" s="535"/>
      <c r="AC24" s="1224">
        <v>-1444.1</v>
      </c>
      <c r="AD24" s="274"/>
      <c r="AE24" s="535" t="s">
        <v>103</v>
      </c>
      <c r="AF24" s="1224">
        <v>-1587.6</v>
      </c>
      <c r="AG24" s="374"/>
      <c r="AH24" s="716"/>
      <c r="AI24" s="274">
        <f>-ROUND(SUM(+AC24-AF24),1)</f>
        <v>-143.5</v>
      </c>
      <c r="AJ24" s="67"/>
      <c r="AK24" s="276">
        <f>ROUND(IF(AF24=0,0,AI24/ABS(AF24)),3)</f>
        <v>-0.09</v>
      </c>
      <c r="AL24" s="1884"/>
      <c r="AM24" s="1611"/>
    </row>
    <row r="25" spans="1:39" ht="15" customHeight="1">
      <c r="A25" s="35"/>
      <c r="B25" s="431" t="s">
        <v>358</v>
      </c>
      <c r="C25" s="301"/>
      <c r="D25" s="542">
        <v>-3649.7</v>
      </c>
      <c r="E25" s="523"/>
      <c r="F25" s="542">
        <v>-1926.6000000000004</v>
      </c>
      <c r="G25" s="523"/>
      <c r="H25" s="542">
        <v>-2552.0999999999995</v>
      </c>
      <c r="I25" s="301"/>
      <c r="J25" s="542">
        <v>-2091.3000000000011</v>
      </c>
      <c r="K25" s="565"/>
      <c r="L25" s="542">
        <v>-1755.9000000000005</v>
      </c>
      <c r="M25" s="565"/>
      <c r="N25" s="542">
        <v>-2487.7999999999993</v>
      </c>
      <c r="O25" s="565"/>
      <c r="P25" s="542">
        <v>-1370.8999999999978</v>
      </c>
      <c r="Q25" s="565"/>
      <c r="R25" s="542">
        <v>-1830.2999999999993</v>
      </c>
      <c r="S25" s="565"/>
      <c r="T25" s="542">
        <v>-2697.5</v>
      </c>
      <c r="U25" s="565"/>
      <c r="V25" s="542">
        <v>-4559.2000000000007</v>
      </c>
      <c r="W25" s="565"/>
      <c r="X25" s="542">
        <f>$AC25-SUM($D25:V25)</f>
        <v>-3114.4000000000015</v>
      </c>
      <c r="Y25" s="565"/>
      <c r="Z25" s="542"/>
      <c r="AA25" s="299"/>
      <c r="AB25" s="535"/>
      <c r="AC25" s="1224">
        <v>-28035.7</v>
      </c>
      <c r="AD25" s="274"/>
      <c r="AE25" s="535" t="s">
        <v>103</v>
      </c>
      <c r="AF25" s="1224">
        <v>-24757.4</v>
      </c>
      <c r="AG25" s="374"/>
      <c r="AH25" s="716"/>
      <c r="AI25" s="274">
        <f>-ROUND(SUM(+AC25-AF25),1)</f>
        <v>3278.3</v>
      </c>
      <c r="AJ25" s="67"/>
      <c r="AK25" s="276">
        <f>ROUND(IF(AF25=0,0,AI25/ABS(AF25)),3)</f>
        <v>0.13200000000000001</v>
      </c>
      <c r="AL25" s="1884"/>
      <c r="AM25" s="1611"/>
    </row>
    <row r="26" spans="1:39" ht="15" customHeight="1">
      <c r="A26" s="35"/>
      <c r="B26" s="294" t="s">
        <v>359</v>
      </c>
      <c r="C26" s="301"/>
      <c r="D26" s="542">
        <v>-4251.2</v>
      </c>
      <c r="E26" s="523"/>
      <c r="F26" s="542">
        <v>-989.69999999999982</v>
      </c>
      <c r="G26" s="523"/>
      <c r="H26" s="542">
        <v>-432</v>
      </c>
      <c r="I26" s="301"/>
      <c r="J26" s="542">
        <v>-407.20000000000073</v>
      </c>
      <c r="K26" s="565"/>
      <c r="L26" s="542">
        <v>-680.89999999999964</v>
      </c>
      <c r="M26" s="565"/>
      <c r="N26" s="542">
        <v>-761.19999999999982</v>
      </c>
      <c r="O26" s="565"/>
      <c r="P26" s="542">
        <v>-2068.6999999999998</v>
      </c>
      <c r="Q26" s="565"/>
      <c r="R26" s="542">
        <v>-791.30000000000109</v>
      </c>
      <c r="S26" s="565"/>
      <c r="T26" s="542">
        <v>-708.69999999999891</v>
      </c>
      <c r="U26" s="565"/>
      <c r="V26" s="542">
        <v>-351</v>
      </c>
      <c r="W26" s="565"/>
      <c r="X26" s="542">
        <f>$AC26-SUM($D26:V26)</f>
        <v>-1484.3999999999996</v>
      </c>
      <c r="Y26" s="565"/>
      <c r="Z26" s="542"/>
      <c r="AA26" s="299"/>
      <c r="AB26" s="535"/>
      <c r="AC26" s="1224">
        <v>-12926.3</v>
      </c>
      <c r="AD26" s="274"/>
      <c r="AE26" s="535" t="s">
        <v>103</v>
      </c>
      <c r="AF26" s="1224">
        <v>-13707.2</v>
      </c>
      <c r="AG26" s="374"/>
      <c r="AH26" s="716"/>
      <c r="AI26" s="274">
        <f>-ROUND(SUM(+AC26-AF26),1)</f>
        <v>-780.9</v>
      </c>
      <c r="AJ26" s="67"/>
      <c r="AK26" s="276">
        <f>ROUND(IF(AF26=0,0,AI26/ABS(AF26)),3)</f>
        <v>-5.7000000000000002E-2</v>
      </c>
      <c r="AL26" s="1884"/>
      <c r="AM26" s="1611"/>
    </row>
    <row r="27" spans="1:39" ht="15" customHeight="1">
      <c r="A27" s="35"/>
      <c r="B27" s="88" t="s">
        <v>360</v>
      </c>
      <c r="C27" s="374"/>
      <c r="D27" s="687">
        <f>ROUND(SUM(D23:D26),1)</f>
        <v>3649.7</v>
      </c>
      <c r="E27" s="274"/>
      <c r="F27" s="687">
        <f>ROUND(SUM(F23:F26),1)</f>
        <v>1926.6</v>
      </c>
      <c r="G27" s="274"/>
      <c r="H27" s="687">
        <f>ROUND(SUM(H23:H26),1)</f>
        <v>2552.1</v>
      </c>
      <c r="I27" s="274"/>
      <c r="J27" s="687">
        <f>ROUND(SUM(J23:J26),1)</f>
        <v>2091.1999999999998</v>
      </c>
      <c r="K27" s="274"/>
      <c r="L27" s="687">
        <f>ROUND(SUM(L23:L26),1)</f>
        <v>1756</v>
      </c>
      <c r="M27" s="274"/>
      <c r="N27" s="687">
        <f>ROUND(SUM(N23:N26),1)</f>
        <v>2487.8000000000002</v>
      </c>
      <c r="O27" s="274"/>
      <c r="P27" s="687">
        <f>ROUND(SUM(P23:P26),1)</f>
        <v>1370.9</v>
      </c>
      <c r="Q27" s="274"/>
      <c r="R27" s="687">
        <f>ROUND(SUM(R23:R26),1)</f>
        <v>1830.3</v>
      </c>
      <c r="S27" s="13"/>
      <c r="T27" s="687">
        <f>ROUND(SUM(T23:T26),1)</f>
        <v>2696.5</v>
      </c>
      <c r="U27" s="274"/>
      <c r="V27" s="687">
        <f>ROUND(SUM(V23:V26),1)</f>
        <v>3116.2</v>
      </c>
      <c r="W27" s="274"/>
      <c r="X27" s="687">
        <f>ROUND(SUM(X23:X26),1)</f>
        <v>3114.3</v>
      </c>
      <c r="Y27" s="274"/>
      <c r="Z27" s="687">
        <f>ROUND(SUM(Z23:Z26),1)</f>
        <v>0</v>
      </c>
      <c r="AA27" s="278"/>
      <c r="AB27" s="875"/>
      <c r="AC27" s="687">
        <f>ROUND(SUM(AC23:AC26),1)</f>
        <v>26591.599999999999</v>
      </c>
      <c r="AD27" s="274"/>
      <c r="AE27" s="534" t="s">
        <v>103</v>
      </c>
      <c r="AF27" s="687">
        <f>ROUND(SUM(AF23:AF26),1)</f>
        <v>23169.8</v>
      </c>
      <c r="AG27" s="274"/>
      <c r="AH27" s="720"/>
      <c r="AI27" s="687">
        <f>ROUND(SUM(AI23-AI24-AI25-AI26),1)</f>
        <v>3421.8</v>
      </c>
      <c r="AJ27" s="274"/>
      <c r="AK27" s="946">
        <f>ROUND(SUM(+AI27/AF27),3)</f>
        <v>0.14799999999999999</v>
      </c>
      <c r="AL27" s="1884"/>
      <c r="AM27" s="1611"/>
    </row>
    <row r="28" spans="1:39" ht="15" customHeight="1">
      <c r="A28" s="35"/>
      <c r="B28" s="423" t="s">
        <v>361</v>
      </c>
      <c r="C28" s="374"/>
      <c r="D28" s="13"/>
      <c r="E28" s="274"/>
      <c r="F28" s="13"/>
      <c r="G28" s="274"/>
      <c r="H28" s="13"/>
      <c r="I28" s="274"/>
      <c r="J28" s="13"/>
      <c r="K28" s="274"/>
      <c r="L28" s="13"/>
      <c r="M28" s="274"/>
      <c r="N28" s="13"/>
      <c r="O28" s="274"/>
      <c r="P28" s="13"/>
      <c r="Q28" s="274"/>
      <c r="R28" s="13"/>
      <c r="S28" s="274"/>
      <c r="T28" s="13"/>
      <c r="U28" s="274"/>
      <c r="V28" s="13"/>
      <c r="W28" s="274"/>
      <c r="X28" s="13"/>
      <c r="Y28" s="274"/>
      <c r="Z28" s="13"/>
      <c r="AA28" s="278"/>
      <c r="AB28" s="875"/>
      <c r="AC28" s="13"/>
      <c r="AD28" s="274"/>
      <c r="AE28" s="534" t="s">
        <v>103</v>
      </c>
      <c r="AF28" s="13"/>
      <c r="AG28" s="274"/>
      <c r="AH28" s="720"/>
      <c r="AI28" s="13"/>
      <c r="AJ28" s="274"/>
      <c r="AK28" s="78"/>
      <c r="AL28" s="1884"/>
      <c r="AM28" s="1611"/>
    </row>
    <row r="29" spans="1:39" ht="15" customHeight="1">
      <c r="A29" s="35"/>
      <c r="B29" s="294" t="s">
        <v>362</v>
      </c>
      <c r="C29" s="374"/>
      <c r="D29" s="542">
        <v>703.1</v>
      </c>
      <c r="E29" s="523"/>
      <c r="F29" s="542">
        <v>722.4</v>
      </c>
      <c r="G29" s="523"/>
      <c r="H29" s="542">
        <v>923.6</v>
      </c>
      <c r="I29" s="274"/>
      <c r="J29" s="542">
        <v>745.5999999999998</v>
      </c>
      <c r="K29" s="565"/>
      <c r="L29" s="542">
        <v>750.60000000000048</v>
      </c>
      <c r="M29" s="565"/>
      <c r="N29" s="542">
        <v>924.09999999999934</v>
      </c>
      <c r="O29" s="565"/>
      <c r="P29" s="542">
        <v>749</v>
      </c>
      <c r="Q29" s="565"/>
      <c r="R29" s="542">
        <v>752.30000000000018</v>
      </c>
      <c r="S29" s="565"/>
      <c r="T29" s="542">
        <v>918.90000000000055</v>
      </c>
      <c r="U29" s="565"/>
      <c r="V29" s="542">
        <v>817.09999999999945</v>
      </c>
      <c r="W29" s="565"/>
      <c r="X29" s="542">
        <f>$AC29-SUM($D29:V29)</f>
        <v>687.09999999999945</v>
      </c>
      <c r="Y29" s="565"/>
      <c r="Z29" s="542"/>
      <c r="AA29" s="299"/>
      <c r="AB29" s="535"/>
      <c r="AC29" s="1224">
        <v>8693.7999999999993</v>
      </c>
      <c r="AD29" s="274"/>
      <c r="AE29" s="535" t="s">
        <v>103</v>
      </c>
      <c r="AF29" s="1224">
        <v>8471.1</v>
      </c>
      <c r="AG29" s="274"/>
      <c r="AH29" s="720"/>
      <c r="AI29" s="274">
        <f t="shared" ref="AI29:AI35" si="1">ROUND(SUM(+AC29-AF29),1)</f>
        <v>222.7</v>
      </c>
      <c r="AJ29" s="274"/>
      <c r="AK29" s="276">
        <f t="shared" ref="AK29:AK37" si="2">ROUND(IF(AF29=0,0,AI29/ABS(AF29)),3)</f>
        <v>2.5999999999999999E-2</v>
      </c>
      <c r="AL29" s="1884"/>
      <c r="AM29" s="1611"/>
    </row>
    <row r="30" spans="1:39" ht="15" customHeight="1">
      <c r="A30" s="35"/>
      <c r="B30" s="294" t="s">
        <v>363</v>
      </c>
      <c r="C30" s="374"/>
      <c r="D30" s="542">
        <v>0</v>
      </c>
      <c r="E30" s="523"/>
      <c r="F30" s="542">
        <v>0</v>
      </c>
      <c r="G30" s="523"/>
      <c r="H30" s="542">
        <v>0</v>
      </c>
      <c r="I30" s="274"/>
      <c r="J30" s="542">
        <v>0</v>
      </c>
      <c r="K30" s="565"/>
      <c r="L30" s="542">
        <v>0</v>
      </c>
      <c r="M30" s="565"/>
      <c r="N30" s="542">
        <v>0</v>
      </c>
      <c r="O30" s="565"/>
      <c r="P30" s="542">
        <v>0</v>
      </c>
      <c r="Q30" s="565"/>
      <c r="R30" s="542">
        <v>0</v>
      </c>
      <c r="S30" s="565"/>
      <c r="T30" s="542">
        <v>0</v>
      </c>
      <c r="U30" s="565"/>
      <c r="V30" s="542">
        <v>0</v>
      </c>
      <c r="W30" s="565"/>
      <c r="X30" s="542">
        <f>$AC30-SUM($D30:V30)</f>
        <v>0</v>
      </c>
      <c r="Y30" s="565"/>
      <c r="Z30" s="542"/>
      <c r="AA30" s="299"/>
      <c r="AB30" s="535"/>
      <c r="AC30" s="542">
        <v>0</v>
      </c>
      <c r="AD30" s="274"/>
      <c r="AE30" s="535" t="s">
        <v>103</v>
      </c>
      <c r="AF30" s="542">
        <v>0</v>
      </c>
      <c r="AG30" s="274"/>
      <c r="AH30" s="720"/>
      <c r="AI30" s="274">
        <f t="shared" si="1"/>
        <v>0</v>
      </c>
      <c r="AJ30" s="274"/>
      <c r="AK30" s="276">
        <f t="shared" si="2"/>
        <v>0</v>
      </c>
      <c r="AL30" s="1884"/>
      <c r="AM30" s="1611"/>
    </row>
    <row r="31" spans="1:39" ht="15" customHeight="1">
      <c r="A31" s="35"/>
      <c r="B31" s="294" t="s">
        <v>364</v>
      </c>
      <c r="C31" s="374"/>
      <c r="D31" s="542">
        <v>26.7</v>
      </c>
      <c r="E31" s="523"/>
      <c r="F31" s="542">
        <v>21.3</v>
      </c>
      <c r="G31" s="523"/>
      <c r="H31" s="542">
        <v>19.599999999999991</v>
      </c>
      <c r="I31" s="274"/>
      <c r="J31" s="542">
        <v>25.600000000000012</v>
      </c>
      <c r="K31" s="565"/>
      <c r="L31" s="542">
        <v>22.899999999999988</v>
      </c>
      <c r="M31" s="565"/>
      <c r="N31" s="542">
        <v>23.200000000000021</v>
      </c>
      <c r="O31" s="565"/>
      <c r="P31" s="542">
        <v>21.199999999999989</v>
      </c>
      <c r="Q31" s="565"/>
      <c r="R31" s="542">
        <v>18.599999999999994</v>
      </c>
      <c r="S31" s="565"/>
      <c r="T31" s="542">
        <v>20.200000000000017</v>
      </c>
      <c r="U31" s="565"/>
      <c r="V31" s="542">
        <v>20.400000000000006</v>
      </c>
      <c r="W31" s="565"/>
      <c r="X31" s="542">
        <f>$AC31-SUM($D31:V31)</f>
        <v>14.599999999999994</v>
      </c>
      <c r="Y31" s="565"/>
      <c r="Z31" s="542"/>
      <c r="AA31" s="299"/>
      <c r="AB31" s="535"/>
      <c r="AC31" s="542">
        <v>234.3</v>
      </c>
      <c r="AD31" s="274"/>
      <c r="AE31" s="535" t="s">
        <v>103</v>
      </c>
      <c r="AF31" s="542">
        <v>248.3</v>
      </c>
      <c r="AG31" s="274"/>
      <c r="AH31" s="720"/>
      <c r="AI31" s="274">
        <f t="shared" si="1"/>
        <v>-14</v>
      </c>
      <c r="AJ31" s="274"/>
      <c r="AK31" s="276">
        <f t="shared" si="2"/>
        <v>-5.6000000000000001E-2</v>
      </c>
      <c r="AL31" s="1884"/>
      <c r="AM31" s="1611"/>
    </row>
    <row r="32" spans="1:39" ht="15" customHeight="1">
      <c r="A32" s="35"/>
      <c r="B32" s="294" t="s">
        <v>366</v>
      </c>
      <c r="C32" s="374"/>
      <c r="D32" s="542">
        <v>0</v>
      </c>
      <c r="E32" s="523"/>
      <c r="F32" s="542">
        <v>0</v>
      </c>
      <c r="G32" s="523"/>
      <c r="H32" s="542">
        <v>0</v>
      </c>
      <c r="I32" s="274"/>
      <c r="J32" s="542">
        <v>0</v>
      </c>
      <c r="K32" s="565"/>
      <c r="L32" s="542">
        <v>0</v>
      </c>
      <c r="M32" s="565"/>
      <c r="N32" s="542">
        <v>0</v>
      </c>
      <c r="O32" s="565"/>
      <c r="P32" s="542">
        <v>0</v>
      </c>
      <c r="Q32" s="565"/>
      <c r="R32" s="542">
        <v>0</v>
      </c>
      <c r="S32" s="565"/>
      <c r="T32" s="542">
        <v>0</v>
      </c>
      <c r="U32" s="565"/>
      <c r="V32" s="542">
        <v>0</v>
      </c>
      <c r="W32" s="565"/>
      <c r="X32" s="542">
        <f>$AC32-SUM($D32:V32)</f>
        <v>0</v>
      </c>
      <c r="Y32" s="565"/>
      <c r="Z32" s="542"/>
      <c r="AA32" s="299"/>
      <c r="AB32" s="535"/>
      <c r="AC32" s="542">
        <v>0</v>
      </c>
      <c r="AD32" s="274"/>
      <c r="AE32" s="535" t="s">
        <v>103</v>
      </c>
      <c r="AF32" s="542">
        <v>0</v>
      </c>
      <c r="AG32" s="274"/>
      <c r="AH32" s="720"/>
      <c r="AI32" s="274">
        <f t="shared" si="1"/>
        <v>0</v>
      </c>
      <c r="AJ32" s="274"/>
      <c r="AK32" s="276">
        <f>ROUND(IF(AF32=0,0,AI32/ABS(AF32)),3)</f>
        <v>0</v>
      </c>
      <c r="AL32" s="1884"/>
      <c r="AM32" s="1611"/>
    </row>
    <row r="33" spans="1:41" ht="15" customHeight="1">
      <c r="A33" s="35"/>
      <c r="B33" s="432" t="s">
        <v>367</v>
      </c>
      <c r="C33" s="374"/>
      <c r="D33" s="542">
        <v>0</v>
      </c>
      <c r="E33" s="523"/>
      <c r="F33" s="542">
        <v>0</v>
      </c>
      <c r="G33" s="523"/>
      <c r="H33" s="542">
        <v>0.4</v>
      </c>
      <c r="I33" s="274"/>
      <c r="J33" s="542">
        <v>0</v>
      </c>
      <c r="K33" s="565"/>
      <c r="L33" s="542">
        <v>0</v>
      </c>
      <c r="M33" s="565"/>
      <c r="N33" s="542">
        <v>0.5</v>
      </c>
      <c r="O33" s="565"/>
      <c r="P33" s="542">
        <v>0</v>
      </c>
      <c r="Q33" s="565"/>
      <c r="R33" s="542">
        <v>9.9999999999999978E-2</v>
      </c>
      <c r="S33" s="565"/>
      <c r="T33" s="542">
        <v>0.30000000000000004</v>
      </c>
      <c r="U33" s="565"/>
      <c r="V33" s="542">
        <v>0</v>
      </c>
      <c r="W33" s="565"/>
      <c r="X33" s="542">
        <f>$AC33-SUM($D33:V33)</f>
        <v>0</v>
      </c>
      <c r="Y33" s="565"/>
      <c r="Z33" s="542"/>
      <c r="AA33" s="299"/>
      <c r="AB33" s="535"/>
      <c r="AC33" s="542">
        <v>1.3</v>
      </c>
      <c r="AD33" s="274"/>
      <c r="AE33" s="535" t="s">
        <v>103</v>
      </c>
      <c r="AF33" s="542">
        <v>-0.1</v>
      </c>
      <c r="AG33" s="274"/>
      <c r="AH33" s="720"/>
      <c r="AI33" s="274">
        <f t="shared" ref="AI33" si="3">ROUND(SUM(+AC33-AF33),1)</f>
        <v>1.4</v>
      </c>
      <c r="AJ33" s="274"/>
      <c r="AK33" s="553">
        <f>ROUND(IF(AF33=0,1,AI33/ABS(AF33)),3)</f>
        <v>14</v>
      </c>
      <c r="AL33" s="1884"/>
      <c r="AM33" s="1611"/>
    </row>
    <row r="34" spans="1:41" ht="15" customHeight="1">
      <c r="A34" s="35"/>
      <c r="B34" s="294" t="s">
        <v>368</v>
      </c>
      <c r="C34" s="374"/>
      <c r="D34" s="542">
        <v>19.100000000000001</v>
      </c>
      <c r="E34" s="523"/>
      <c r="F34" s="542">
        <v>21.699999999999996</v>
      </c>
      <c r="G34" s="523"/>
      <c r="H34" s="542">
        <v>24.5</v>
      </c>
      <c r="I34" s="274"/>
      <c r="J34" s="542">
        <v>25.999999999999993</v>
      </c>
      <c r="K34" s="565"/>
      <c r="L34" s="542">
        <v>23.800000000000018</v>
      </c>
      <c r="M34" s="565"/>
      <c r="N34" s="542">
        <v>24.599999999999994</v>
      </c>
      <c r="O34" s="565"/>
      <c r="P34" s="542">
        <v>20.5</v>
      </c>
      <c r="Q34" s="565"/>
      <c r="R34" s="542">
        <v>24.400000000000006</v>
      </c>
      <c r="S34" s="565"/>
      <c r="T34" s="542">
        <v>21.400000000000006</v>
      </c>
      <c r="U34" s="565"/>
      <c r="V34" s="542">
        <v>30.400000000000006</v>
      </c>
      <c r="W34" s="565"/>
      <c r="X34" s="542">
        <f>$AC34-SUM($D34:V34)</f>
        <v>15.5</v>
      </c>
      <c r="Y34" s="565"/>
      <c r="Z34" s="542"/>
      <c r="AA34" s="299"/>
      <c r="AB34" s="535"/>
      <c r="AC34" s="542">
        <v>251.9</v>
      </c>
      <c r="AD34" s="274"/>
      <c r="AE34" s="535" t="s">
        <v>103</v>
      </c>
      <c r="AF34" s="542">
        <v>254.70000000000002</v>
      </c>
      <c r="AG34" s="274"/>
      <c r="AH34" s="720"/>
      <c r="AI34" s="274">
        <f t="shared" si="1"/>
        <v>-2.8</v>
      </c>
      <c r="AJ34" s="274"/>
      <c r="AK34" s="276">
        <f t="shared" si="2"/>
        <v>-1.0999999999999999E-2</v>
      </c>
      <c r="AL34" s="1884"/>
      <c r="AM34" s="1611"/>
    </row>
    <row r="35" spans="1:41" ht="15" customHeight="1">
      <c r="A35" s="35"/>
      <c r="B35" s="294" t="s">
        <v>369</v>
      </c>
      <c r="C35" s="374"/>
      <c r="D35" s="542">
        <v>0</v>
      </c>
      <c r="E35" s="523"/>
      <c r="F35" s="542">
        <v>0</v>
      </c>
      <c r="G35" s="523"/>
      <c r="H35" s="542">
        <v>0</v>
      </c>
      <c r="I35" s="274"/>
      <c r="J35" s="542">
        <v>0</v>
      </c>
      <c r="K35" s="565"/>
      <c r="L35" s="542">
        <v>0</v>
      </c>
      <c r="M35" s="565"/>
      <c r="N35" s="542">
        <v>0</v>
      </c>
      <c r="O35" s="565"/>
      <c r="P35" s="542">
        <v>0</v>
      </c>
      <c r="Q35" s="565"/>
      <c r="R35" s="542">
        <v>0</v>
      </c>
      <c r="S35" s="565"/>
      <c r="T35" s="542">
        <v>0</v>
      </c>
      <c r="U35" s="565"/>
      <c r="V35" s="542">
        <v>0</v>
      </c>
      <c r="W35" s="565"/>
      <c r="X35" s="542">
        <f>$AC35-SUM($D35:V35)</f>
        <v>0</v>
      </c>
      <c r="Y35" s="565"/>
      <c r="Z35" s="542"/>
      <c r="AA35" s="299"/>
      <c r="AB35" s="535"/>
      <c r="AC35" s="542">
        <v>0</v>
      </c>
      <c r="AD35" s="274"/>
      <c r="AE35" s="535" t="s">
        <v>103</v>
      </c>
      <c r="AF35" s="542">
        <v>0</v>
      </c>
      <c r="AG35" s="274"/>
      <c r="AH35" s="720"/>
      <c r="AI35" s="274">
        <f t="shared" si="1"/>
        <v>0</v>
      </c>
      <c r="AJ35" s="274"/>
      <c r="AK35" s="276">
        <f t="shared" si="2"/>
        <v>0</v>
      </c>
      <c r="AL35" s="1884"/>
      <c r="AM35" s="1611"/>
    </row>
    <row r="36" spans="1:41" ht="15" customHeight="1">
      <c r="A36" s="35"/>
      <c r="B36" s="294" t="s">
        <v>445</v>
      </c>
      <c r="C36" s="374"/>
      <c r="D36" s="542">
        <v>0</v>
      </c>
      <c r="E36" s="523"/>
      <c r="F36" s="542">
        <v>0</v>
      </c>
      <c r="G36" s="523"/>
      <c r="H36" s="542">
        <v>0</v>
      </c>
      <c r="I36" s="274"/>
      <c r="J36" s="542">
        <v>0</v>
      </c>
      <c r="K36" s="565"/>
      <c r="L36" s="542">
        <v>0</v>
      </c>
      <c r="M36" s="565"/>
      <c r="N36" s="542">
        <v>0</v>
      </c>
      <c r="O36" s="565"/>
      <c r="P36" s="542">
        <v>0</v>
      </c>
      <c r="Q36" s="565"/>
      <c r="R36" s="542">
        <v>0</v>
      </c>
      <c r="S36" s="565"/>
      <c r="T36" s="542">
        <v>0</v>
      </c>
      <c r="U36" s="565"/>
      <c r="V36" s="542">
        <v>0</v>
      </c>
      <c r="W36" s="565"/>
      <c r="X36" s="542">
        <f>$AC36-SUM($D36:V36)</f>
        <v>0</v>
      </c>
      <c r="Y36" s="565"/>
      <c r="Z36" s="542"/>
      <c r="AA36" s="299"/>
      <c r="AB36" s="535"/>
      <c r="AC36" s="542">
        <v>0</v>
      </c>
      <c r="AD36" s="274"/>
      <c r="AE36" s="535" t="s">
        <v>103</v>
      </c>
      <c r="AF36" s="542">
        <v>0</v>
      </c>
      <c r="AG36" s="274"/>
      <c r="AH36" s="720"/>
      <c r="AI36" s="274">
        <f>ROUND(SUM(+AC36-AF36),1)</f>
        <v>0</v>
      </c>
      <c r="AJ36" s="274"/>
      <c r="AK36" s="276">
        <f>ROUND(IF(AF36=0,0,AI36/ABS(AF36)),3)</f>
        <v>0</v>
      </c>
      <c r="AL36" s="1884"/>
      <c r="AM36" s="1611"/>
    </row>
    <row r="37" spans="1:41" ht="15" customHeight="1">
      <c r="A37" s="35"/>
      <c r="B37" s="294" t="s">
        <v>371</v>
      </c>
      <c r="C37" s="374"/>
      <c r="D37" s="542">
        <v>5.3000000000000007</v>
      </c>
      <c r="E37" s="523"/>
      <c r="F37" s="542">
        <v>0.19999999999999929</v>
      </c>
      <c r="G37" s="523"/>
      <c r="H37" s="542">
        <v>0</v>
      </c>
      <c r="I37" s="274"/>
      <c r="J37" s="542">
        <v>5</v>
      </c>
      <c r="K37" s="565"/>
      <c r="L37" s="542">
        <v>0</v>
      </c>
      <c r="M37" s="565"/>
      <c r="N37" s="542">
        <v>9.9999999999999645E-2</v>
      </c>
      <c r="O37" s="565"/>
      <c r="P37" s="542">
        <v>4.5</v>
      </c>
      <c r="Q37" s="565"/>
      <c r="R37" s="542">
        <v>0.5</v>
      </c>
      <c r="S37" s="565"/>
      <c r="T37" s="542">
        <v>0</v>
      </c>
      <c r="U37" s="565"/>
      <c r="V37" s="542">
        <v>4.7000000000000011</v>
      </c>
      <c r="W37" s="565"/>
      <c r="X37" s="542">
        <f>$AC37-SUM($D37:V37)</f>
        <v>0.19999999999999929</v>
      </c>
      <c r="Y37" s="565"/>
      <c r="Z37" s="542"/>
      <c r="AA37" s="299"/>
      <c r="AB37" s="535"/>
      <c r="AC37" s="542">
        <v>20.5</v>
      </c>
      <c r="AD37" s="274"/>
      <c r="AE37" s="535" t="s">
        <v>103</v>
      </c>
      <c r="AF37" s="542">
        <v>22</v>
      </c>
      <c r="AG37" s="274"/>
      <c r="AH37" s="720"/>
      <c r="AI37" s="274">
        <f t="shared" ref="AI37" si="4">ROUND(SUM(+AC37-AF37),1)</f>
        <v>-1.5</v>
      </c>
      <c r="AJ37" s="274"/>
      <c r="AK37" s="276">
        <f t="shared" si="2"/>
        <v>-6.8000000000000005E-2</v>
      </c>
      <c r="AL37" s="1884"/>
      <c r="AM37" s="1611"/>
    </row>
    <row r="38" spans="1:41" s="63" customFormat="1" ht="15" customHeight="1">
      <c r="A38" s="428"/>
      <c r="B38" s="88" t="s">
        <v>372</v>
      </c>
      <c r="C38" s="61"/>
      <c r="D38" s="687">
        <f>ROUND(SUM(D29:D37),1)</f>
        <v>754.2</v>
      </c>
      <c r="E38" s="13"/>
      <c r="F38" s="687">
        <f>ROUND(SUM(F29:F37),1)</f>
        <v>765.6</v>
      </c>
      <c r="G38" s="13"/>
      <c r="H38" s="687">
        <f>ROUND(SUM(H29:H37),1)</f>
        <v>968.1</v>
      </c>
      <c r="I38" s="13"/>
      <c r="J38" s="687">
        <f>ROUND(SUM(J29:J37),1)</f>
        <v>802.2</v>
      </c>
      <c r="K38" s="13"/>
      <c r="L38" s="687">
        <f>ROUND(SUM(L29:L37),1)</f>
        <v>797.3</v>
      </c>
      <c r="M38" s="13"/>
      <c r="N38" s="687">
        <f>ROUND(SUM(N29:N37),1)</f>
        <v>972.5</v>
      </c>
      <c r="O38" s="13"/>
      <c r="P38" s="687">
        <f>ROUND(SUM(P29:P37),1)</f>
        <v>795.2</v>
      </c>
      <c r="Q38" s="13"/>
      <c r="R38" s="687">
        <f>ROUND(SUM(R29:R37),1)</f>
        <v>795.9</v>
      </c>
      <c r="S38" s="13"/>
      <c r="T38" s="687">
        <f>ROUND(SUM(T29:T37),1)</f>
        <v>960.8</v>
      </c>
      <c r="U38" s="13"/>
      <c r="V38" s="687">
        <f>ROUND(SUM(V29:V37),1)</f>
        <v>872.6</v>
      </c>
      <c r="W38" s="13"/>
      <c r="X38" s="687">
        <f>ROUND(SUM(X29:X37),1)</f>
        <v>717.4</v>
      </c>
      <c r="Y38" s="13"/>
      <c r="Z38" s="687">
        <f>ROUND(SUM(Z29:Z37),1)</f>
        <v>0</v>
      </c>
      <c r="AA38" s="40"/>
      <c r="AB38" s="73"/>
      <c r="AC38" s="687">
        <f>ROUND(SUM(AC29:AC37),1)</f>
        <v>9201.7999999999993</v>
      </c>
      <c r="AD38" s="13"/>
      <c r="AE38" s="14"/>
      <c r="AF38" s="687">
        <f>ROUND(SUM(AF29:AF37),1)</f>
        <v>8996</v>
      </c>
      <c r="AG38" s="13"/>
      <c r="AH38" s="721"/>
      <c r="AI38" s="687">
        <f>ROUND(SUM(AI29:AI37),1)</f>
        <v>205.8</v>
      </c>
      <c r="AJ38" s="13"/>
      <c r="AK38" s="946">
        <f>ROUND(SUM(+AI38/AF38),3)</f>
        <v>2.3E-2</v>
      </c>
      <c r="AL38" s="1884"/>
      <c r="AM38" s="1611"/>
      <c r="AN38" s="60"/>
      <c r="AO38" s="60"/>
    </row>
    <row r="39" spans="1:41" s="63" customFormat="1" ht="15" customHeight="1">
      <c r="A39" s="428"/>
      <c r="B39" s="423" t="s">
        <v>373</v>
      </c>
      <c r="C39" s="61"/>
      <c r="D39" s="13"/>
      <c r="E39" s="13"/>
      <c r="F39" s="13"/>
      <c r="G39" s="13"/>
      <c r="H39" s="13"/>
      <c r="I39" s="13"/>
      <c r="J39" s="274"/>
      <c r="K39" s="13"/>
      <c r="L39" s="13"/>
      <c r="M39" s="13"/>
      <c r="N39" s="13"/>
      <c r="O39" s="13"/>
      <c r="P39" s="13"/>
      <c r="Q39" s="13"/>
      <c r="R39" s="13"/>
      <c r="S39" s="13"/>
      <c r="T39" s="13"/>
      <c r="U39" s="13"/>
      <c r="V39" s="13"/>
      <c r="W39" s="13"/>
      <c r="X39" s="13"/>
      <c r="Y39" s="13"/>
      <c r="Z39" s="13"/>
      <c r="AA39" s="40"/>
      <c r="AB39" s="73"/>
      <c r="AC39" s="13"/>
      <c r="AD39" s="13"/>
      <c r="AE39" s="14" t="s">
        <v>103</v>
      </c>
      <c r="AF39" s="13"/>
      <c r="AG39" s="13"/>
      <c r="AH39" s="721"/>
      <c r="AI39" s="13"/>
      <c r="AJ39" s="13"/>
      <c r="AK39" s="78"/>
      <c r="AL39" s="1884"/>
      <c r="AM39" s="1611"/>
      <c r="AN39" s="60"/>
      <c r="AO39" s="60"/>
    </row>
    <row r="40" spans="1:41" s="63" customFormat="1" ht="15" customHeight="1">
      <c r="A40" s="428"/>
      <c r="B40" s="294" t="s">
        <v>374</v>
      </c>
      <c r="C40" s="61"/>
      <c r="D40" s="542">
        <v>1064</v>
      </c>
      <c r="E40" s="523"/>
      <c r="F40" s="542">
        <v>116.79999999999995</v>
      </c>
      <c r="G40" s="523"/>
      <c r="H40" s="542">
        <v>1177.0000000000002</v>
      </c>
      <c r="I40" s="13"/>
      <c r="J40" s="542">
        <v>-2.6000000000003638</v>
      </c>
      <c r="K40" s="565"/>
      <c r="L40" s="542">
        <v>-18</v>
      </c>
      <c r="M40" s="565"/>
      <c r="N40" s="542">
        <v>1269.9000000000003</v>
      </c>
      <c r="O40" s="565"/>
      <c r="P40" s="542">
        <v>-4.3000000000001819</v>
      </c>
      <c r="Q40" s="565"/>
      <c r="R40" s="542">
        <v>-37.400000000000091</v>
      </c>
      <c r="S40" s="565"/>
      <c r="T40" s="542">
        <v>1300.9999999999995</v>
      </c>
      <c r="U40" s="565"/>
      <c r="V40" s="542">
        <v>84.800000000000182</v>
      </c>
      <c r="W40" s="565"/>
      <c r="X40" s="542">
        <f>$AC40-SUM($D40:V40)</f>
        <v>-13.5</v>
      </c>
      <c r="Y40" s="565"/>
      <c r="Z40" s="542"/>
      <c r="AA40" s="299"/>
      <c r="AB40" s="535"/>
      <c r="AC40" s="542">
        <v>4937.7</v>
      </c>
      <c r="AD40" s="274"/>
      <c r="AE40" s="535" t="s">
        <v>103</v>
      </c>
      <c r="AF40" s="542">
        <v>5691.7</v>
      </c>
      <c r="AG40" s="13"/>
      <c r="AH40" s="721"/>
      <c r="AI40" s="274">
        <f t="shared" ref="AI40:AI45" si="5">ROUND(SUM(+AC40-AF40),1)</f>
        <v>-754</v>
      </c>
      <c r="AJ40" s="13"/>
      <c r="AK40" s="276">
        <f t="shared" ref="AK40:AK42" si="6">ROUND(IF(AF40=0,0,AI40/ABS(AF40)),3)</f>
        <v>-0.13200000000000001</v>
      </c>
      <c r="AL40" s="1884"/>
      <c r="AM40" s="1611"/>
      <c r="AN40" s="60"/>
      <c r="AO40" s="60"/>
    </row>
    <row r="41" spans="1:41" s="63" customFormat="1" ht="15" customHeight="1">
      <c r="A41" s="428"/>
      <c r="B41" s="294" t="s">
        <v>375</v>
      </c>
      <c r="C41" s="61"/>
      <c r="D41" s="542">
        <v>11</v>
      </c>
      <c r="E41" s="523"/>
      <c r="F41" s="542">
        <v>7.6999999999999993</v>
      </c>
      <c r="G41" s="523"/>
      <c r="H41" s="542">
        <v>66.3</v>
      </c>
      <c r="I41" s="13"/>
      <c r="J41" s="542">
        <v>1.9000000000000057</v>
      </c>
      <c r="K41" s="565"/>
      <c r="L41" s="542">
        <v>-5.5</v>
      </c>
      <c r="M41" s="565"/>
      <c r="N41" s="542">
        <v>94.3</v>
      </c>
      <c r="O41" s="565"/>
      <c r="P41" s="542">
        <v>-0.69999999999998863</v>
      </c>
      <c r="Q41" s="565"/>
      <c r="R41" s="542">
        <v>0.70000000000001705</v>
      </c>
      <c r="S41" s="565"/>
      <c r="T41" s="542">
        <v>71.799999999999983</v>
      </c>
      <c r="U41" s="565"/>
      <c r="V41" s="542">
        <v>1.1999999999999886</v>
      </c>
      <c r="W41" s="565"/>
      <c r="X41" s="542">
        <f>$AC41-SUM($D41:V41)</f>
        <v>3.4000000000000057</v>
      </c>
      <c r="Y41" s="565"/>
      <c r="Z41" s="542"/>
      <c r="AA41" s="299"/>
      <c r="AB41" s="535"/>
      <c r="AC41" s="542">
        <v>252.1</v>
      </c>
      <c r="AD41" s="274"/>
      <c r="AE41" s="535" t="s">
        <v>103</v>
      </c>
      <c r="AF41" s="542">
        <v>262.3</v>
      </c>
      <c r="AG41" s="13"/>
      <c r="AH41" s="721"/>
      <c r="AI41" s="274">
        <f t="shared" si="5"/>
        <v>-10.199999999999999</v>
      </c>
      <c r="AJ41" s="13"/>
      <c r="AK41" s="553">
        <f t="shared" si="6"/>
        <v>-3.9E-2</v>
      </c>
      <c r="AL41" s="1884"/>
      <c r="AM41" s="1611"/>
      <c r="AN41" s="60"/>
      <c r="AO41" s="60"/>
    </row>
    <row r="42" spans="1:41" s="63" customFormat="1" ht="15" customHeight="1">
      <c r="A42" s="428"/>
      <c r="B42" s="294" t="s">
        <v>376</v>
      </c>
      <c r="C42" s="61"/>
      <c r="D42" s="542">
        <v>126.2</v>
      </c>
      <c r="E42" s="523"/>
      <c r="F42" s="542">
        <v>12.999999999999986</v>
      </c>
      <c r="G42" s="523"/>
      <c r="H42" s="542">
        <v>478.7</v>
      </c>
      <c r="I42" s="13"/>
      <c r="J42" s="542">
        <v>8.3000000000000682</v>
      </c>
      <c r="K42" s="565"/>
      <c r="L42" s="542">
        <v>18.699999999999875</v>
      </c>
      <c r="M42" s="565"/>
      <c r="N42" s="542">
        <v>468.30000000000007</v>
      </c>
      <c r="O42" s="565"/>
      <c r="P42" s="542">
        <v>3.5000000000002274</v>
      </c>
      <c r="Q42" s="565"/>
      <c r="R42" s="542">
        <v>7.7000000000000455</v>
      </c>
      <c r="S42" s="565"/>
      <c r="T42" s="542">
        <v>459.29999999999995</v>
      </c>
      <c r="U42" s="565"/>
      <c r="V42" s="542">
        <v>7.7999999999999545</v>
      </c>
      <c r="W42" s="565"/>
      <c r="X42" s="542">
        <f>$AC42-SUM($D42:V42)</f>
        <v>11.200000000000045</v>
      </c>
      <c r="Y42" s="565"/>
      <c r="Z42" s="542"/>
      <c r="AA42" s="299"/>
      <c r="AB42" s="535"/>
      <c r="AC42" s="542">
        <v>1602.7</v>
      </c>
      <c r="AD42" s="274"/>
      <c r="AE42" s="535" t="s">
        <v>103</v>
      </c>
      <c r="AF42" s="542">
        <v>1575.4</v>
      </c>
      <c r="AG42" s="13"/>
      <c r="AH42" s="721"/>
      <c r="AI42" s="274">
        <f t="shared" si="5"/>
        <v>27.3</v>
      </c>
      <c r="AJ42" s="13"/>
      <c r="AK42" s="276">
        <f t="shared" si="6"/>
        <v>1.7000000000000001E-2</v>
      </c>
      <c r="AL42" s="1884"/>
      <c r="AM42" s="1611"/>
      <c r="AN42" s="60"/>
      <c r="AO42" s="60"/>
    </row>
    <row r="43" spans="1:41" s="63" customFormat="1" ht="15" customHeight="1">
      <c r="A43" s="428"/>
      <c r="B43" s="294" t="s">
        <v>377</v>
      </c>
      <c r="C43" s="61"/>
      <c r="D43" s="542">
        <v>0.7</v>
      </c>
      <c r="E43" s="523"/>
      <c r="F43" s="542">
        <v>0</v>
      </c>
      <c r="G43" s="523"/>
      <c r="H43" s="542">
        <v>-2.2000000000000002</v>
      </c>
      <c r="I43" s="13"/>
      <c r="J43" s="542">
        <v>1.1000000000000001</v>
      </c>
      <c r="K43" s="565"/>
      <c r="L43" s="542">
        <v>0.30000000000000027</v>
      </c>
      <c r="M43" s="565"/>
      <c r="N43" s="542">
        <v>0</v>
      </c>
      <c r="O43" s="565"/>
      <c r="P43" s="542">
        <v>9.9999999999999867E-2</v>
      </c>
      <c r="Q43" s="565"/>
      <c r="R43" s="542">
        <v>0</v>
      </c>
      <c r="S43" s="565"/>
      <c r="T43" s="542">
        <v>0</v>
      </c>
      <c r="U43" s="565"/>
      <c r="V43" s="542">
        <v>277.39999999999998</v>
      </c>
      <c r="W43" s="565"/>
      <c r="X43" s="542">
        <f>$AC43-SUM($D43:V43)</f>
        <v>0</v>
      </c>
      <c r="Y43" s="565"/>
      <c r="Z43" s="542"/>
      <c r="AA43" s="299"/>
      <c r="AB43" s="535"/>
      <c r="AC43" s="542">
        <v>277.39999999999998</v>
      </c>
      <c r="AD43" s="274"/>
      <c r="AE43" s="535" t="s">
        <v>103</v>
      </c>
      <c r="AF43" s="542">
        <v>0.2</v>
      </c>
      <c r="AG43" s="13"/>
      <c r="AH43" s="721"/>
      <c r="AI43" s="274">
        <f t="shared" si="5"/>
        <v>277.2</v>
      </c>
      <c r="AJ43" s="13"/>
      <c r="AK43" s="553">
        <f>ROUND(IF(AF43=0,1,AI43/ABS(AF43)),3)</f>
        <v>1386</v>
      </c>
      <c r="AL43" s="1884"/>
      <c r="AM43" s="1611"/>
      <c r="AN43" s="60"/>
      <c r="AO43" s="60"/>
    </row>
    <row r="44" spans="1:41" s="63" customFormat="1" ht="15" customHeight="1">
      <c r="A44" s="428"/>
      <c r="B44" s="294" t="s">
        <v>378</v>
      </c>
      <c r="C44" s="61"/>
      <c r="D44" s="542">
        <v>22.7</v>
      </c>
      <c r="E44" s="523"/>
      <c r="F44" s="542">
        <v>72.499999999999986</v>
      </c>
      <c r="G44" s="523"/>
      <c r="H44" s="542">
        <v>1545.2</v>
      </c>
      <c r="I44" s="13"/>
      <c r="J44" s="542">
        <v>-25.599999999999909</v>
      </c>
      <c r="K44" s="565"/>
      <c r="L44" s="542">
        <v>54.499999999999773</v>
      </c>
      <c r="M44" s="565"/>
      <c r="N44" s="542">
        <v>1528.5</v>
      </c>
      <c r="O44" s="565"/>
      <c r="P44" s="542">
        <v>-459.20000000000027</v>
      </c>
      <c r="Q44" s="565"/>
      <c r="R44" s="542">
        <v>54</v>
      </c>
      <c r="S44" s="565"/>
      <c r="T44" s="542">
        <v>2693.2999999999997</v>
      </c>
      <c r="U44" s="565"/>
      <c r="V44" s="542">
        <v>188</v>
      </c>
      <c r="W44" s="565"/>
      <c r="X44" s="542">
        <f>$AC44-SUM($D44:V44)</f>
        <v>86.300000000000182</v>
      </c>
      <c r="Y44" s="565"/>
      <c r="Z44" s="542"/>
      <c r="AA44" s="299"/>
      <c r="AB44" s="535"/>
      <c r="AC44" s="542">
        <v>5760.2</v>
      </c>
      <c r="AD44" s="274"/>
      <c r="AE44" s="535" t="s">
        <v>103</v>
      </c>
      <c r="AF44" s="542">
        <v>4805.1000000000004</v>
      </c>
      <c r="AG44" s="13"/>
      <c r="AH44" s="721"/>
      <c r="AI44" s="274">
        <f t="shared" si="5"/>
        <v>955.1</v>
      </c>
      <c r="AJ44" s="13"/>
      <c r="AK44" s="553">
        <f>ROUND(IF(AF44=0,1,AI44/ABS(AF44)),3)</f>
        <v>0.19900000000000001</v>
      </c>
      <c r="AL44" s="1884"/>
      <c r="AM44" s="1611"/>
      <c r="AN44" s="60"/>
      <c r="AO44" s="60"/>
    </row>
    <row r="45" spans="1:41" s="63" customFormat="1" ht="15" customHeight="1">
      <c r="A45" s="428"/>
      <c r="B45" s="294" t="s">
        <v>379</v>
      </c>
      <c r="C45" s="61"/>
      <c r="D45" s="542">
        <v>0</v>
      </c>
      <c r="E45" s="523"/>
      <c r="F45" s="542">
        <v>0</v>
      </c>
      <c r="G45" s="523"/>
      <c r="H45" s="542">
        <v>0</v>
      </c>
      <c r="I45" s="13"/>
      <c r="J45" s="542">
        <v>0</v>
      </c>
      <c r="K45" s="565"/>
      <c r="L45" s="542">
        <v>0</v>
      </c>
      <c r="M45" s="565"/>
      <c r="N45" s="542">
        <v>0</v>
      </c>
      <c r="O45" s="565"/>
      <c r="P45" s="542">
        <v>0</v>
      </c>
      <c r="Q45" s="565"/>
      <c r="R45" s="542">
        <v>0</v>
      </c>
      <c r="S45" s="565"/>
      <c r="T45" s="542">
        <v>0</v>
      </c>
      <c r="U45" s="565"/>
      <c r="V45" s="542">
        <v>0</v>
      </c>
      <c r="W45" s="565"/>
      <c r="X45" s="542">
        <f>$AC45-SUM($D45:V45)</f>
        <v>0</v>
      </c>
      <c r="Y45" s="565"/>
      <c r="Z45" s="542"/>
      <c r="AA45" s="299"/>
      <c r="AB45" s="535"/>
      <c r="AC45" s="542">
        <v>0</v>
      </c>
      <c r="AD45" s="274"/>
      <c r="AE45" s="535" t="s">
        <v>103</v>
      </c>
      <c r="AF45" s="542">
        <v>0</v>
      </c>
      <c r="AG45" s="13"/>
      <c r="AH45" s="721"/>
      <c r="AI45" s="274">
        <f t="shared" si="5"/>
        <v>0</v>
      </c>
      <c r="AJ45" s="13"/>
      <c r="AK45" s="276">
        <f>ROUND(IF(AF45=0,0,AI45/ABS(AF45)),3)</f>
        <v>0</v>
      </c>
      <c r="AL45" s="1884"/>
      <c r="AM45" s="1611"/>
      <c r="AN45" s="60"/>
      <c r="AO45" s="60"/>
    </row>
    <row r="46" spans="1:41" s="63" customFormat="1" ht="15" customHeight="1">
      <c r="A46" s="428"/>
      <c r="B46" s="88" t="s">
        <v>380</v>
      </c>
      <c r="C46" s="61"/>
      <c r="D46" s="687">
        <f>ROUND(SUM(D40:D45),1)</f>
        <v>1224.5999999999999</v>
      </c>
      <c r="E46" s="13"/>
      <c r="F46" s="687">
        <f>ROUND(SUM(F40:F45),1)</f>
        <v>210</v>
      </c>
      <c r="G46" s="13"/>
      <c r="H46" s="687">
        <f>ROUND(SUM(H40:H45),1)</f>
        <v>3265</v>
      </c>
      <c r="I46" s="13"/>
      <c r="J46" s="687">
        <f>ROUND(SUM(J40:J45),1)</f>
        <v>-16.899999999999999</v>
      </c>
      <c r="K46" s="13"/>
      <c r="L46" s="687">
        <f>ROUND(SUM(L40:L45),1)</f>
        <v>50</v>
      </c>
      <c r="M46" s="13"/>
      <c r="N46" s="687">
        <f>ROUND(SUM(N40:N45),1)</f>
        <v>3361</v>
      </c>
      <c r="O46" s="13"/>
      <c r="P46" s="687">
        <f>ROUND(SUM(P40:P45),1)</f>
        <v>-460.6</v>
      </c>
      <c r="Q46" s="13"/>
      <c r="R46" s="687">
        <f>ROUND(SUM(R40:R45),1)</f>
        <v>25</v>
      </c>
      <c r="S46" s="13"/>
      <c r="T46" s="687">
        <f>ROUND(SUM(T40:T45),1)</f>
        <v>4525.3999999999996</v>
      </c>
      <c r="U46" s="13"/>
      <c r="V46" s="687">
        <f>ROUND(SUM(V40:V45),1)</f>
        <v>559.20000000000005</v>
      </c>
      <c r="W46" s="13"/>
      <c r="X46" s="687">
        <f>ROUND(SUM(X40:X45),1)</f>
        <v>87.4</v>
      </c>
      <c r="Y46" s="13"/>
      <c r="Z46" s="687">
        <f>ROUND(SUM(Z40:Z45),1)</f>
        <v>0</v>
      </c>
      <c r="AA46" s="40"/>
      <c r="AB46" s="73"/>
      <c r="AC46" s="687">
        <f>ROUND(SUM(AC40:AC45),1)</f>
        <v>12830.1</v>
      </c>
      <c r="AD46" s="13"/>
      <c r="AE46" s="14"/>
      <c r="AF46" s="687">
        <f>ROUND(SUM(AF40:AF45),1)</f>
        <v>12334.7</v>
      </c>
      <c r="AG46" s="13"/>
      <c r="AH46" s="721"/>
      <c r="AI46" s="687">
        <f>ROUND(SUM(AI40:AI45),1)</f>
        <v>495.4</v>
      </c>
      <c r="AJ46" s="13"/>
      <c r="AK46" s="946">
        <f>ROUND(SUM(+AI46/AF46),3)</f>
        <v>0.04</v>
      </c>
      <c r="AL46" s="1884"/>
      <c r="AM46" s="1611"/>
      <c r="AN46" s="60"/>
      <c r="AO46" s="60"/>
    </row>
    <row r="47" spans="1:41" s="63" customFormat="1" ht="15" customHeight="1">
      <c r="A47" s="428"/>
      <c r="B47" s="423" t="s">
        <v>381</v>
      </c>
      <c r="C47" s="61"/>
      <c r="D47" s="13"/>
      <c r="E47" s="13"/>
      <c r="F47" s="13"/>
      <c r="G47" s="13"/>
      <c r="H47" s="13"/>
      <c r="I47" s="13"/>
      <c r="J47" s="13"/>
      <c r="K47" s="13"/>
      <c r="L47" s="13"/>
      <c r="M47" s="13"/>
      <c r="N47" s="13"/>
      <c r="O47" s="13"/>
      <c r="P47" s="13"/>
      <c r="Q47" s="13"/>
      <c r="R47" s="13"/>
      <c r="S47" s="13"/>
      <c r="T47" s="13"/>
      <c r="U47" s="13"/>
      <c r="V47" s="13"/>
      <c r="W47" s="13"/>
      <c r="X47" s="13"/>
      <c r="Y47" s="13"/>
      <c r="Z47" s="13"/>
      <c r="AA47" s="40"/>
      <c r="AB47" s="73"/>
      <c r="AC47" s="13"/>
      <c r="AD47" s="13"/>
      <c r="AE47" s="14"/>
      <c r="AF47" s="13"/>
      <c r="AG47" s="13"/>
      <c r="AH47" s="721"/>
      <c r="AI47" s="13"/>
      <c r="AJ47" s="13"/>
      <c r="AK47" s="78"/>
      <c r="AL47" s="1884"/>
      <c r="AM47" s="1611"/>
      <c r="AN47" s="60"/>
      <c r="AO47" s="60"/>
    </row>
    <row r="48" spans="1:41" s="63" customFormat="1" ht="15" customHeight="1">
      <c r="A48" s="428"/>
      <c r="B48" s="294" t="s">
        <v>382</v>
      </c>
      <c r="C48" s="61"/>
      <c r="D48" s="542">
        <v>0</v>
      </c>
      <c r="E48" s="523"/>
      <c r="F48" s="542">
        <v>0</v>
      </c>
      <c r="G48" s="523"/>
      <c r="H48" s="542">
        <v>0</v>
      </c>
      <c r="I48" s="13"/>
      <c r="J48" s="542">
        <v>0</v>
      </c>
      <c r="K48" s="565"/>
      <c r="L48" s="542">
        <v>0</v>
      </c>
      <c r="M48" s="565"/>
      <c r="N48" s="542">
        <v>0</v>
      </c>
      <c r="O48" s="565"/>
      <c r="P48" s="542">
        <v>0</v>
      </c>
      <c r="Q48" s="565"/>
      <c r="R48" s="542">
        <v>0</v>
      </c>
      <c r="S48" s="565"/>
      <c r="T48" s="542">
        <v>0</v>
      </c>
      <c r="U48" s="565"/>
      <c r="V48" s="542">
        <v>0</v>
      </c>
      <c r="W48" s="565"/>
      <c r="X48" s="542">
        <f>$AC48-SUM($D48:V48)</f>
        <v>0</v>
      </c>
      <c r="Y48" s="565"/>
      <c r="Z48" s="542"/>
      <c r="AA48" s="299"/>
      <c r="AB48" s="535"/>
      <c r="AC48" s="542">
        <v>0</v>
      </c>
      <c r="AD48" s="274"/>
      <c r="AE48" s="535" t="s">
        <v>103</v>
      </c>
      <c r="AF48" s="542">
        <v>0</v>
      </c>
      <c r="AG48" s="13"/>
      <c r="AH48" s="721"/>
      <c r="AI48" s="274">
        <f t="shared" ref="AI48:AI52" si="7">ROUND(SUM(+AC48-AF48),1)</f>
        <v>0</v>
      </c>
      <c r="AJ48" s="13"/>
      <c r="AK48" s="276">
        <f t="shared" ref="AK48:AK51" si="8">ROUND(IF(AF48=0,0,AI48/ABS(AF48)),3)</f>
        <v>0</v>
      </c>
      <c r="AL48" s="1884"/>
      <c r="AM48" s="1611"/>
      <c r="AN48" s="60"/>
      <c r="AO48" s="60"/>
    </row>
    <row r="49" spans="1:41" s="63" customFormat="1" ht="15" customHeight="1">
      <c r="A49" s="428"/>
      <c r="B49" s="294" t="s">
        <v>383</v>
      </c>
      <c r="C49" s="61"/>
      <c r="D49" s="542">
        <v>183.8</v>
      </c>
      <c r="E49" s="523"/>
      <c r="F49" s="542">
        <v>119.79999999999995</v>
      </c>
      <c r="G49" s="523"/>
      <c r="H49" s="542">
        <v>111.00000000000006</v>
      </c>
      <c r="I49" s="13"/>
      <c r="J49" s="542">
        <v>94.799999999999955</v>
      </c>
      <c r="K49" s="565"/>
      <c r="L49" s="542">
        <v>121.89999999999998</v>
      </c>
      <c r="M49" s="565"/>
      <c r="N49" s="542">
        <v>100.50000000000006</v>
      </c>
      <c r="O49" s="565"/>
      <c r="P49" s="542">
        <v>77.5</v>
      </c>
      <c r="Q49" s="565"/>
      <c r="R49" s="542">
        <v>106.80000000000007</v>
      </c>
      <c r="S49" s="565"/>
      <c r="T49" s="542">
        <v>136.39999999999998</v>
      </c>
      <c r="U49" s="565"/>
      <c r="V49" s="542">
        <v>63.799999999999955</v>
      </c>
      <c r="W49" s="565"/>
      <c r="X49" s="542">
        <f>$AC49-SUM($D49:V49)</f>
        <v>94.799999999999955</v>
      </c>
      <c r="Y49" s="565"/>
      <c r="Z49" s="542"/>
      <c r="AA49" s="299"/>
      <c r="AB49" s="535"/>
      <c r="AC49" s="542">
        <v>1211.0999999999999</v>
      </c>
      <c r="AD49" s="274"/>
      <c r="AE49" s="535" t="s">
        <v>103</v>
      </c>
      <c r="AF49" s="542">
        <v>1792.8</v>
      </c>
      <c r="AG49" s="13"/>
      <c r="AH49" s="721"/>
      <c r="AI49" s="274">
        <f t="shared" si="7"/>
        <v>-581.70000000000005</v>
      </c>
      <c r="AJ49" s="13"/>
      <c r="AK49" s="276">
        <f t="shared" si="8"/>
        <v>-0.32400000000000001</v>
      </c>
      <c r="AL49" s="1884"/>
      <c r="AM49" s="1611"/>
      <c r="AN49" s="60"/>
      <c r="AO49" s="60"/>
    </row>
    <row r="50" spans="1:41" s="63" customFormat="1" ht="15" customHeight="1">
      <c r="A50" s="428"/>
      <c r="B50" s="294" t="s">
        <v>384</v>
      </c>
      <c r="C50" s="61"/>
      <c r="D50" s="542">
        <v>1.2</v>
      </c>
      <c r="E50" s="523"/>
      <c r="F50" s="542">
        <v>1.0999999999999999</v>
      </c>
      <c r="G50" s="523"/>
      <c r="H50" s="542">
        <v>1.3000000000000005</v>
      </c>
      <c r="I50" s="13"/>
      <c r="J50" s="542">
        <v>1.0999999999999999</v>
      </c>
      <c r="K50" s="565"/>
      <c r="L50" s="542">
        <v>1.7</v>
      </c>
      <c r="M50" s="565"/>
      <c r="N50" s="542">
        <v>1.6999999999999995</v>
      </c>
      <c r="O50" s="565"/>
      <c r="P50" s="542">
        <v>0.40000000000000036</v>
      </c>
      <c r="Q50" s="565"/>
      <c r="R50" s="542">
        <v>1.1999999999999993</v>
      </c>
      <c r="S50" s="565"/>
      <c r="T50" s="542">
        <v>0.70000000000000107</v>
      </c>
      <c r="U50" s="565"/>
      <c r="V50" s="542">
        <v>0.5</v>
      </c>
      <c r="W50" s="565"/>
      <c r="X50" s="542">
        <f>$AC50-SUM($D50:V50)</f>
        <v>0.59999999999999964</v>
      </c>
      <c r="Y50" s="565"/>
      <c r="Z50" s="542"/>
      <c r="AA50" s="299"/>
      <c r="AB50" s="535"/>
      <c r="AC50" s="542">
        <v>11.5</v>
      </c>
      <c r="AD50" s="274"/>
      <c r="AE50" s="535" t="s">
        <v>103</v>
      </c>
      <c r="AF50" s="542">
        <v>12</v>
      </c>
      <c r="AG50" s="13"/>
      <c r="AH50" s="721"/>
      <c r="AI50" s="274">
        <f t="shared" si="7"/>
        <v>-0.5</v>
      </c>
      <c r="AJ50" s="13"/>
      <c r="AK50" s="276">
        <f t="shared" si="8"/>
        <v>-4.2000000000000003E-2</v>
      </c>
      <c r="AL50" s="1884"/>
      <c r="AM50" s="1611"/>
      <c r="AN50" s="60"/>
      <c r="AO50" s="60"/>
    </row>
    <row r="51" spans="1:41" s="63" customFormat="1" ht="15" customHeight="1">
      <c r="A51" s="428"/>
      <c r="B51" s="294" t="s">
        <v>385</v>
      </c>
      <c r="C51" s="61"/>
      <c r="D51" s="542">
        <v>0</v>
      </c>
      <c r="E51" s="523"/>
      <c r="F51" s="542">
        <v>0</v>
      </c>
      <c r="G51" s="523"/>
      <c r="H51" s="542">
        <v>0</v>
      </c>
      <c r="I51" s="13"/>
      <c r="J51" s="542">
        <v>0</v>
      </c>
      <c r="K51" s="565"/>
      <c r="L51" s="542">
        <v>0</v>
      </c>
      <c r="M51" s="565"/>
      <c r="N51" s="542">
        <v>0</v>
      </c>
      <c r="O51" s="565"/>
      <c r="P51" s="542">
        <v>0</v>
      </c>
      <c r="Q51" s="565"/>
      <c r="R51" s="542">
        <v>0</v>
      </c>
      <c r="S51" s="565"/>
      <c r="T51" s="542">
        <v>0</v>
      </c>
      <c r="U51" s="565"/>
      <c r="V51" s="542">
        <v>0</v>
      </c>
      <c r="W51" s="565"/>
      <c r="X51" s="542">
        <f>$AC51-SUM($D51:V51)</f>
        <v>0</v>
      </c>
      <c r="Y51" s="565"/>
      <c r="Z51" s="542"/>
      <c r="AA51" s="299"/>
      <c r="AB51" s="535"/>
      <c r="AC51" s="542">
        <v>0</v>
      </c>
      <c r="AD51" s="274">
        <f>'Exhibit F'!AF1216</f>
        <v>0</v>
      </c>
      <c r="AE51" s="535" t="s">
        <v>103</v>
      </c>
      <c r="AF51" s="542">
        <v>0</v>
      </c>
      <c r="AG51" s="13"/>
      <c r="AH51" s="721"/>
      <c r="AI51" s="274">
        <f t="shared" si="7"/>
        <v>0</v>
      </c>
      <c r="AJ51" s="13"/>
      <c r="AK51" s="276">
        <f t="shared" si="8"/>
        <v>0</v>
      </c>
      <c r="AL51" s="1884"/>
      <c r="AM51" s="1611"/>
      <c r="AN51" s="60"/>
      <c r="AO51" s="60"/>
    </row>
    <row r="52" spans="1:41" s="63" customFormat="1" ht="15" customHeight="1">
      <c r="A52" s="428"/>
      <c r="B52" s="294" t="s">
        <v>386</v>
      </c>
      <c r="C52" s="61"/>
      <c r="D52" s="542">
        <v>0.2</v>
      </c>
      <c r="E52" s="523"/>
      <c r="F52" s="542">
        <v>0</v>
      </c>
      <c r="G52" s="523"/>
      <c r="H52" s="542">
        <v>0</v>
      </c>
      <c r="I52" s="13"/>
      <c r="J52" s="542">
        <v>9.9999999999999978E-2</v>
      </c>
      <c r="K52" s="565"/>
      <c r="L52" s="542">
        <v>0</v>
      </c>
      <c r="M52" s="565"/>
      <c r="N52" s="542">
        <v>0</v>
      </c>
      <c r="O52" s="565"/>
      <c r="P52" s="542">
        <v>0.10000000000000003</v>
      </c>
      <c r="Q52" s="565"/>
      <c r="R52" s="542">
        <v>0</v>
      </c>
      <c r="S52" s="565"/>
      <c r="T52" s="542">
        <v>1.5</v>
      </c>
      <c r="U52" s="565"/>
      <c r="V52" s="542">
        <v>0</v>
      </c>
      <c r="W52" s="565"/>
      <c r="X52" s="542">
        <f>$AC52-SUM($D52:V52)</f>
        <v>0.10000000000000009</v>
      </c>
      <c r="Y52" s="565"/>
      <c r="Z52" s="542"/>
      <c r="AA52" s="299"/>
      <c r="AB52" s="535"/>
      <c r="AC52" s="542">
        <v>2</v>
      </c>
      <c r="AD52" s="274"/>
      <c r="AE52" s="535" t="s">
        <v>103</v>
      </c>
      <c r="AF52" s="542">
        <v>1.4</v>
      </c>
      <c r="AG52" s="13"/>
      <c r="AH52" s="721"/>
      <c r="AI52" s="274">
        <f t="shared" si="7"/>
        <v>0.6</v>
      </c>
      <c r="AJ52" s="13"/>
      <c r="AK52" s="276">
        <f>ROUND(IF(AF52=0,1,AI52/ABS(AF52)),3)</f>
        <v>0.42899999999999999</v>
      </c>
      <c r="AL52" s="1884"/>
      <c r="AM52" s="1611"/>
      <c r="AN52" s="60"/>
      <c r="AO52" s="60"/>
    </row>
    <row r="53" spans="1:41" s="63" customFormat="1" ht="15" customHeight="1">
      <c r="A53" s="428"/>
      <c r="B53" s="431" t="s">
        <v>387</v>
      </c>
      <c r="C53" s="301"/>
      <c r="D53" s="542">
        <v>0.2</v>
      </c>
      <c r="E53" s="523"/>
      <c r="F53" s="542">
        <v>0.10000000000000003</v>
      </c>
      <c r="G53" s="523"/>
      <c r="H53" s="542">
        <v>0.19999999999999996</v>
      </c>
      <c r="I53" s="301"/>
      <c r="J53" s="542">
        <v>0.39999999999999991</v>
      </c>
      <c r="K53" s="565"/>
      <c r="L53" s="542">
        <v>0.10000000000000009</v>
      </c>
      <c r="M53" s="565"/>
      <c r="N53" s="542">
        <v>0.19999999999999996</v>
      </c>
      <c r="O53" s="565"/>
      <c r="P53" s="542">
        <v>0.30000000000000004</v>
      </c>
      <c r="Q53" s="565"/>
      <c r="R53" s="542">
        <v>0.30000000000000004</v>
      </c>
      <c r="S53" s="565"/>
      <c r="T53" s="542">
        <v>5.1000000000000005</v>
      </c>
      <c r="U53" s="565"/>
      <c r="V53" s="542">
        <v>0.5</v>
      </c>
      <c r="W53" s="565"/>
      <c r="X53" s="542">
        <f>$AC53-SUM($D53:V53)</f>
        <v>9.9999999999999645E-2</v>
      </c>
      <c r="Y53" s="565"/>
      <c r="Z53" s="542"/>
      <c r="AA53" s="299"/>
      <c r="AB53" s="535"/>
      <c r="AC53" s="542">
        <v>7.5</v>
      </c>
      <c r="AD53" s="274"/>
      <c r="AE53" s="535" t="s">
        <v>103</v>
      </c>
      <c r="AF53" s="542">
        <v>6.5</v>
      </c>
      <c r="AG53" s="374"/>
      <c r="AH53" s="716"/>
      <c r="AI53" s="274">
        <f>ROUND(SUM(+AC53-AF53),1)</f>
        <v>1</v>
      </c>
      <c r="AJ53" s="67"/>
      <c r="AK53" s="276">
        <f>ROUND(IF(AF53=0,1,AI53/ABS(AF53)),3)</f>
        <v>0.154</v>
      </c>
      <c r="AL53" s="1884"/>
      <c r="AM53" s="1611"/>
      <c r="AN53" s="60"/>
      <c r="AO53" s="60"/>
    </row>
    <row r="54" spans="1:41" s="63" customFormat="1" ht="15" customHeight="1">
      <c r="A54" s="428"/>
      <c r="B54" s="88" t="s">
        <v>388</v>
      </c>
      <c r="C54" s="61"/>
      <c r="D54" s="687">
        <f>ROUND(SUM(D48:D53),1)</f>
        <v>185.4</v>
      </c>
      <c r="E54" s="13"/>
      <c r="F54" s="687">
        <f>ROUND(SUM(F48:F53),1)</f>
        <v>121</v>
      </c>
      <c r="G54" s="13"/>
      <c r="H54" s="687">
        <f>ROUND(SUM(H48:H53),1)</f>
        <v>112.5</v>
      </c>
      <c r="I54" s="13"/>
      <c r="J54" s="687">
        <f>ROUND(SUM(J48:J53),1)</f>
        <v>96.4</v>
      </c>
      <c r="K54" s="13"/>
      <c r="L54" s="687">
        <f>ROUND(SUM(L48:L53),1)</f>
        <v>123.7</v>
      </c>
      <c r="M54" s="13"/>
      <c r="N54" s="687">
        <f>ROUND(SUM(N48:N53),1)</f>
        <v>102.4</v>
      </c>
      <c r="O54" s="13"/>
      <c r="P54" s="687">
        <f>ROUND(SUM(P48:P53),1)</f>
        <v>78.3</v>
      </c>
      <c r="Q54" s="13"/>
      <c r="R54" s="687">
        <f>ROUND(SUM(R48:R53),1)</f>
        <v>108.3</v>
      </c>
      <c r="S54" s="13"/>
      <c r="T54" s="687">
        <f>ROUND(SUM(T48:T53),1)</f>
        <v>143.69999999999999</v>
      </c>
      <c r="U54" s="13"/>
      <c r="V54" s="687">
        <f>ROUND(SUM(V48:V53),1)</f>
        <v>64.8</v>
      </c>
      <c r="W54" s="13"/>
      <c r="X54" s="687">
        <f>ROUND(SUM(X48:X53),1)</f>
        <v>95.6</v>
      </c>
      <c r="Y54" s="13"/>
      <c r="Z54" s="687">
        <f>ROUND(SUM(Z48:Z53),1)</f>
        <v>0</v>
      </c>
      <c r="AA54" s="40"/>
      <c r="AB54" s="73"/>
      <c r="AC54" s="687">
        <f>ROUND(SUM(AC48:AC53),1)</f>
        <v>1232.0999999999999</v>
      </c>
      <c r="AD54" s="13"/>
      <c r="AE54" s="14"/>
      <c r="AF54" s="687">
        <f>ROUND(SUM(AF48:AF53),1)</f>
        <v>1812.7</v>
      </c>
      <c r="AG54" s="13"/>
      <c r="AH54" s="721"/>
      <c r="AI54" s="687">
        <f>ROUND(SUM(AI48:AI53),1)</f>
        <v>-580.6</v>
      </c>
      <c r="AJ54" s="13"/>
      <c r="AK54" s="946">
        <f>ROUND(SUM(+AI54/AF54),3)</f>
        <v>-0.32</v>
      </c>
      <c r="AL54" s="1884"/>
      <c r="AM54" s="1611"/>
      <c r="AN54" s="60"/>
      <c r="AO54" s="60"/>
    </row>
    <row r="55" spans="1:41" s="63" customFormat="1" ht="15" customHeight="1">
      <c r="A55" s="428"/>
      <c r="B55" s="88"/>
      <c r="C55" s="61"/>
      <c r="D55" s="13"/>
      <c r="E55" s="13"/>
      <c r="F55" s="13"/>
      <c r="G55" s="13"/>
      <c r="H55" s="13"/>
      <c r="I55" s="13"/>
      <c r="J55" s="13"/>
      <c r="K55" s="13"/>
      <c r="L55" s="13"/>
      <c r="M55" s="13"/>
      <c r="N55" s="13"/>
      <c r="O55" s="13"/>
      <c r="P55" s="13"/>
      <c r="Q55" s="13"/>
      <c r="R55" s="13"/>
      <c r="S55" s="13"/>
      <c r="T55" s="13"/>
      <c r="U55" s="13"/>
      <c r="V55" s="13"/>
      <c r="W55" s="13"/>
      <c r="X55" s="13"/>
      <c r="Y55" s="13"/>
      <c r="Z55" s="13"/>
      <c r="AA55" s="40"/>
      <c r="AB55" s="73"/>
      <c r="AC55" s="13"/>
      <c r="AD55" s="13"/>
      <c r="AE55" s="14"/>
      <c r="AF55" s="13"/>
      <c r="AG55" s="13"/>
      <c r="AH55" s="721"/>
      <c r="AI55" s="13"/>
      <c r="AJ55" s="13"/>
      <c r="AK55" s="78"/>
      <c r="AL55" s="1884"/>
      <c r="AM55" s="1611"/>
      <c r="AN55" s="60"/>
      <c r="AO55" s="60"/>
    </row>
    <row r="56" spans="1:41" ht="15" customHeight="1">
      <c r="A56" s="35"/>
      <c r="B56" s="88" t="s">
        <v>389</v>
      </c>
      <c r="C56" s="374"/>
      <c r="D56" s="722">
        <f>ROUND(SUM(D27+D38+D46+D54),1)</f>
        <v>5813.9</v>
      </c>
      <c r="E56" s="274"/>
      <c r="F56" s="722">
        <f>ROUND(SUM(F27+F38+F46+F54),1)</f>
        <v>3023.2</v>
      </c>
      <c r="G56" s="274"/>
      <c r="H56" s="722">
        <f>ROUND(SUM(H27+H38+H46+H54),1)</f>
        <v>6897.7</v>
      </c>
      <c r="I56" s="274"/>
      <c r="J56" s="722">
        <f>ROUND(SUM(J27+J38+J46+J54),1)</f>
        <v>2972.9</v>
      </c>
      <c r="K56" s="274"/>
      <c r="L56" s="1046">
        <f>ROUND(SUM(L27+L38+L46+L54),1)</f>
        <v>2727</v>
      </c>
      <c r="M56" s="274"/>
      <c r="N56" s="1046">
        <f>ROUND(SUM(N27+N38+N46+N54),1)</f>
        <v>6923.7</v>
      </c>
      <c r="O56" s="274"/>
      <c r="P56" s="1046">
        <f>ROUND(SUM(P27+P38+P46+P54),1)</f>
        <v>1783.8</v>
      </c>
      <c r="Q56" s="274"/>
      <c r="R56" s="1046">
        <f>ROUND(SUM(R27+R38+R46+R54),1)</f>
        <v>2759.5</v>
      </c>
      <c r="S56" s="684"/>
      <c r="T56" s="1046">
        <f>ROUND(SUM(T27+T38+T46+T54),1)</f>
        <v>8326.4</v>
      </c>
      <c r="U56" s="274"/>
      <c r="V56" s="1046">
        <f>ROUND(SUM(V27+V38+V46+V54),1)</f>
        <v>4612.8</v>
      </c>
      <c r="W56" s="274"/>
      <c r="X56" s="1046">
        <f>ROUND(SUM(X27+X38+X46+X54),1)</f>
        <v>4014.7</v>
      </c>
      <c r="Y56" s="274"/>
      <c r="Z56" s="1046">
        <f>ROUND(SUM(Z27+Z38+Z46+Z54),1)</f>
        <v>0</v>
      </c>
      <c r="AA56" s="278"/>
      <c r="AB56" s="875"/>
      <c r="AC56" s="722">
        <f>ROUND(SUM(AC27+AC38+AC46+AC54),1)</f>
        <v>49855.6</v>
      </c>
      <c r="AD56" s="274"/>
      <c r="AE56" s="534"/>
      <c r="AF56" s="722">
        <f>ROUND(SUM(AF27+AF38+AF46+AF54),1)</f>
        <v>46313.2</v>
      </c>
      <c r="AG56" s="274"/>
      <c r="AH56" s="720"/>
      <c r="AI56" s="1046">
        <f>ROUND(SUM(AI27+AI38+AI46+AI54),1)</f>
        <v>3542.4</v>
      </c>
      <c r="AJ56" s="274"/>
      <c r="AK56" s="378">
        <f>ROUND(SUM(+AI56/AF56),3)</f>
        <v>7.5999999999999998E-2</v>
      </c>
      <c r="AL56" s="1884"/>
      <c r="AM56" s="1611"/>
    </row>
    <row r="57" spans="1:41" ht="8.25" customHeight="1">
      <c r="A57" s="35"/>
      <c r="B57" s="301"/>
      <c r="C57" s="3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8"/>
      <c r="AB57" s="875"/>
      <c r="AC57" s="274"/>
      <c r="AD57" s="274"/>
      <c r="AE57" s="534"/>
      <c r="AF57" s="274"/>
      <c r="AG57" s="274"/>
      <c r="AH57" s="720"/>
      <c r="AI57" s="274"/>
      <c r="AJ57" s="274"/>
      <c r="AK57" s="293"/>
      <c r="AL57" s="1884"/>
      <c r="AM57" s="1611"/>
    </row>
    <row r="58" spans="1:41" ht="15" customHeight="1">
      <c r="A58" s="35"/>
      <c r="B58" s="1248" t="s">
        <v>390</v>
      </c>
      <c r="C58" s="376"/>
      <c r="D58" s="274"/>
      <c r="E58" s="1143"/>
      <c r="F58" s="274"/>
      <c r="G58" s="1143"/>
      <c r="H58" s="274"/>
      <c r="I58" s="274"/>
      <c r="J58" s="274"/>
      <c r="K58" s="274"/>
      <c r="L58" s="274"/>
      <c r="M58" s="274"/>
      <c r="N58" s="274"/>
      <c r="O58" s="274"/>
      <c r="P58" s="274"/>
      <c r="Q58" s="274"/>
      <c r="R58" s="274"/>
      <c r="S58" s="274"/>
      <c r="T58" s="274"/>
      <c r="U58" s="274"/>
      <c r="V58" s="274"/>
      <c r="W58" s="274"/>
      <c r="X58" s="274"/>
      <c r="Y58" s="274"/>
      <c r="Z58" s="274"/>
      <c r="AA58" s="278"/>
      <c r="AB58" s="875"/>
      <c r="AC58" s="274"/>
      <c r="AD58" s="274"/>
      <c r="AE58" s="534"/>
      <c r="AF58" s="274"/>
      <c r="AG58" s="274"/>
      <c r="AH58" s="720"/>
      <c r="AI58" s="274"/>
      <c r="AJ58" s="274"/>
      <c r="AK58" s="293"/>
      <c r="AL58" s="1884"/>
      <c r="AM58" s="1611"/>
    </row>
    <row r="59" spans="1:41" ht="15" customHeight="1">
      <c r="A59" s="35"/>
      <c r="B59" s="360" t="s">
        <v>391</v>
      </c>
      <c r="C59" s="376"/>
      <c r="D59" s="274"/>
      <c r="E59" s="1143"/>
      <c r="F59" s="274"/>
      <c r="G59" s="1143"/>
      <c r="H59" s="274"/>
      <c r="I59" s="274"/>
      <c r="J59" s="274"/>
      <c r="K59" s="274"/>
      <c r="L59" s="274"/>
      <c r="M59" s="274"/>
      <c r="N59" s="274"/>
      <c r="O59" s="274"/>
      <c r="P59" s="274"/>
      <c r="Q59" s="274"/>
      <c r="R59" s="274"/>
      <c r="S59" s="274"/>
      <c r="T59" s="274"/>
      <c r="U59" s="274"/>
      <c r="V59" s="274"/>
      <c r="W59" s="274"/>
      <c r="X59" s="274"/>
      <c r="Y59" s="274"/>
      <c r="Z59" s="274"/>
      <c r="AA59" s="278"/>
      <c r="AB59" s="1051"/>
      <c r="AC59" s="274"/>
      <c r="AD59" s="274"/>
      <c r="AE59" s="534"/>
      <c r="AF59" s="274"/>
      <c r="AG59" s="274"/>
      <c r="AH59" s="720"/>
      <c r="AI59" s="274"/>
      <c r="AJ59" s="274"/>
      <c r="AK59" s="293"/>
      <c r="AL59" s="1884"/>
      <c r="AM59" s="1611"/>
    </row>
    <row r="60" spans="1:41" ht="15" customHeight="1">
      <c r="A60" s="35"/>
      <c r="B60" s="360" t="s">
        <v>392</v>
      </c>
      <c r="C60" s="360"/>
      <c r="D60" s="542">
        <v>0.4</v>
      </c>
      <c r="E60" s="523"/>
      <c r="F60" s="542">
        <v>0</v>
      </c>
      <c r="G60" s="523"/>
      <c r="H60" s="542">
        <v>0</v>
      </c>
      <c r="I60" s="274"/>
      <c r="J60" s="542">
        <v>0</v>
      </c>
      <c r="K60" s="565"/>
      <c r="L60" s="542">
        <v>9.9</v>
      </c>
      <c r="M60" s="565"/>
      <c r="N60" s="542">
        <v>99.999999999999986</v>
      </c>
      <c r="O60" s="565"/>
      <c r="P60" s="542">
        <v>30.000000000000028</v>
      </c>
      <c r="Q60" s="565"/>
      <c r="R60" s="542">
        <v>130</v>
      </c>
      <c r="S60" s="565"/>
      <c r="T60" s="542">
        <v>0.10000000000002274</v>
      </c>
      <c r="U60" s="565"/>
      <c r="V60" s="542">
        <v>29.899999999999977</v>
      </c>
      <c r="W60" s="565"/>
      <c r="X60" s="542">
        <f>$AC60-SUM($D60:V60)</f>
        <v>10.100000000000023</v>
      </c>
      <c r="Y60" s="565"/>
      <c r="Z60" s="542"/>
      <c r="AA60" s="299"/>
      <c r="AB60" s="535"/>
      <c r="AC60" s="542">
        <v>310.40000000000003</v>
      </c>
      <c r="AD60" s="274"/>
      <c r="AE60" s="535" t="s">
        <v>103</v>
      </c>
      <c r="AF60" s="542">
        <v>310.5</v>
      </c>
      <c r="AG60" s="297"/>
      <c r="AH60" s="723"/>
      <c r="AI60" s="274">
        <f>ROUND(SUM(+AC60-AF60),1)</f>
        <v>-0.1</v>
      </c>
      <c r="AJ60" s="274"/>
      <c r="AK60" s="276">
        <f>ROUND(IF(AF60=0,1,AI60/ABS(AF60)),3)</f>
        <v>0</v>
      </c>
      <c r="AL60" s="1884"/>
      <c r="AM60" s="1611"/>
    </row>
    <row r="61" spans="1:41" ht="15" customHeight="1">
      <c r="A61" s="35"/>
      <c r="B61" s="360" t="s">
        <v>393</v>
      </c>
      <c r="C61" s="360"/>
      <c r="D61" s="542">
        <v>0.4</v>
      </c>
      <c r="E61" s="523"/>
      <c r="F61" s="542">
        <v>0</v>
      </c>
      <c r="G61" s="523"/>
      <c r="H61" s="542">
        <v>17.200000000000003</v>
      </c>
      <c r="I61" s="274"/>
      <c r="J61" s="542">
        <v>2.7999999999999972</v>
      </c>
      <c r="K61" s="565"/>
      <c r="L61" s="542">
        <v>0.80000000000000071</v>
      </c>
      <c r="M61" s="565"/>
      <c r="N61" s="542">
        <v>13.900000000000002</v>
      </c>
      <c r="O61" s="565"/>
      <c r="P61" s="542">
        <v>2.7999999999999972</v>
      </c>
      <c r="Q61" s="565"/>
      <c r="R61" s="542">
        <v>-0.10000000000000142</v>
      </c>
      <c r="S61" s="565"/>
      <c r="T61" s="542">
        <v>22.800000000000004</v>
      </c>
      <c r="U61" s="565"/>
      <c r="V61" s="542">
        <v>1.3999999999999986</v>
      </c>
      <c r="W61" s="565"/>
      <c r="X61" s="542">
        <f>$AC61-SUM($D61:V61)</f>
        <v>2.2000000000000028</v>
      </c>
      <c r="Y61" s="565"/>
      <c r="Z61" s="542"/>
      <c r="AA61" s="299"/>
      <c r="AB61" s="535"/>
      <c r="AC61" s="542">
        <v>64.2</v>
      </c>
      <c r="AD61" s="274"/>
      <c r="AE61" s="535" t="s">
        <v>103</v>
      </c>
      <c r="AF61" s="542">
        <v>78.300000000000011</v>
      </c>
      <c r="AG61" s="274"/>
      <c r="AH61" s="720"/>
      <c r="AI61" s="274">
        <f>ROUND(SUM(+AC61-AF61),1)</f>
        <v>-14.1</v>
      </c>
      <c r="AJ61" s="274"/>
      <c r="AK61" s="553">
        <f>ROUND(IF(AF61=0,0,AI61/ABS(AF61)),3)</f>
        <v>-0.18</v>
      </c>
      <c r="AL61" s="1884"/>
      <c r="AM61" s="1611"/>
    </row>
    <row r="62" spans="1:41" ht="15" customHeight="1">
      <c r="A62" s="35"/>
      <c r="B62" s="360" t="s">
        <v>394</v>
      </c>
      <c r="C62" s="360"/>
      <c r="D62" s="542" t="s">
        <v>103</v>
      </c>
      <c r="E62" s="523"/>
      <c r="F62" s="542"/>
      <c r="G62" s="523"/>
      <c r="H62" s="542"/>
      <c r="I62" s="274"/>
      <c r="J62" s="542"/>
      <c r="K62" s="274"/>
      <c r="L62" s="542"/>
      <c r="M62" s="274"/>
      <c r="N62" s="542"/>
      <c r="O62" s="274"/>
      <c r="P62" s="542"/>
      <c r="Q62" s="274"/>
      <c r="R62" s="542"/>
      <c r="S62" s="274"/>
      <c r="T62" s="542"/>
      <c r="U62" s="274"/>
      <c r="V62" s="542"/>
      <c r="W62" s="274"/>
      <c r="X62" s="542"/>
      <c r="Y62" s="274"/>
      <c r="Z62" s="523"/>
      <c r="AA62" s="278"/>
      <c r="AB62" s="1051"/>
      <c r="AC62" s="712" t="s">
        <v>103</v>
      </c>
      <c r="AD62" s="274"/>
      <c r="AE62" s="535"/>
      <c r="AF62" s="712" t="s">
        <v>103</v>
      </c>
      <c r="AG62" s="274"/>
      <c r="AH62" s="720"/>
      <c r="AI62" s="274"/>
      <c r="AJ62" s="274"/>
      <c r="AK62" s="293"/>
      <c r="AL62" s="1884"/>
      <c r="AM62" s="1611"/>
    </row>
    <row r="63" spans="1:41" ht="15" customHeight="1">
      <c r="A63" s="35"/>
      <c r="B63" s="360" t="s">
        <v>395</v>
      </c>
      <c r="C63" s="360"/>
      <c r="D63" s="542">
        <v>0</v>
      </c>
      <c r="E63" s="523"/>
      <c r="F63" s="542">
        <v>0.3</v>
      </c>
      <c r="G63" s="523"/>
      <c r="H63" s="542">
        <v>0</v>
      </c>
      <c r="I63" s="274"/>
      <c r="J63" s="542">
        <v>0.39999999999999997</v>
      </c>
      <c r="K63" s="565"/>
      <c r="L63" s="542">
        <v>0</v>
      </c>
      <c r="M63" s="565"/>
      <c r="N63" s="542">
        <v>0</v>
      </c>
      <c r="O63" s="565"/>
      <c r="P63" s="542">
        <v>0</v>
      </c>
      <c r="Q63" s="565"/>
      <c r="R63" s="542">
        <v>0.40000000000000013</v>
      </c>
      <c r="S63" s="565"/>
      <c r="T63" s="542">
        <v>0</v>
      </c>
      <c r="U63" s="565"/>
      <c r="V63" s="542">
        <v>0</v>
      </c>
      <c r="W63" s="565"/>
      <c r="X63" s="542">
        <f>$AC63-SUM($D63:V63)</f>
        <v>0.39999999999999991</v>
      </c>
      <c r="Y63" s="565"/>
      <c r="Z63" s="542"/>
      <c r="AA63" s="299"/>
      <c r="AB63" s="535"/>
      <c r="AC63" s="542">
        <v>1.5</v>
      </c>
      <c r="AD63" s="274"/>
      <c r="AE63" s="535" t="s">
        <v>103</v>
      </c>
      <c r="AF63" s="542">
        <v>0.7</v>
      </c>
      <c r="AG63" s="297"/>
      <c r="AH63" s="723"/>
      <c r="AI63" s="274">
        <f>ROUND(SUM(+AC63-AF63),1)</f>
        <v>0.8</v>
      </c>
      <c r="AJ63" s="274"/>
      <c r="AK63" s="553">
        <f>ROUND(IF(AF63=0,1,AI63/ABS(AF63)),3)</f>
        <v>1.143</v>
      </c>
      <c r="AL63" s="1884"/>
      <c r="AM63" s="1611"/>
    </row>
    <row r="64" spans="1:41" ht="15" customHeight="1">
      <c r="A64" s="35"/>
      <c r="B64" s="360" t="s">
        <v>396</v>
      </c>
      <c r="C64" s="360"/>
      <c r="D64" s="542">
        <v>2.8</v>
      </c>
      <c r="E64" s="523"/>
      <c r="F64" s="542">
        <v>1.4000000000000004</v>
      </c>
      <c r="G64" s="523"/>
      <c r="H64" s="542">
        <v>5.8999999999999995</v>
      </c>
      <c r="I64" s="274"/>
      <c r="J64" s="542">
        <v>0</v>
      </c>
      <c r="K64" s="565"/>
      <c r="L64" s="542">
        <v>3.7</v>
      </c>
      <c r="M64" s="565"/>
      <c r="N64" s="542">
        <v>6.9000000000000012</v>
      </c>
      <c r="O64" s="565"/>
      <c r="P64" s="542">
        <v>1.7999999999999972</v>
      </c>
      <c r="Q64" s="565"/>
      <c r="R64" s="542">
        <v>2.6000000000000014</v>
      </c>
      <c r="S64" s="565"/>
      <c r="T64" s="542">
        <v>7.1999999999999957</v>
      </c>
      <c r="U64" s="565"/>
      <c r="V64" s="542">
        <v>0</v>
      </c>
      <c r="W64" s="565"/>
      <c r="X64" s="542">
        <f>$AC64-SUM($D64:V64)</f>
        <v>6.6000000000000014</v>
      </c>
      <c r="Y64" s="565"/>
      <c r="Z64" s="542"/>
      <c r="AA64" s="299"/>
      <c r="AB64" s="535"/>
      <c r="AC64" s="542">
        <v>38.9</v>
      </c>
      <c r="AD64" s="274"/>
      <c r="AE64" s="535" t="s">
        <v>103</v>
      </c>
      <c r="AF64" s="542">
        <v>36.199999999999996</v>
      </c>
      <c r="AG64" s="297"/>
      <c r="AH64" s="723"/>
      <c r="AI64" s="274">
        <f>ROUND(SUM(+AC64-AF64),1)</f>
        <v>2.7</v>
      </c>
      <c r="AJ64" s="274"/>
      <c r="AK64" s="276">
        <f>ROUND(IF(AF64=0,1,AI64/ABS(AF64)),3)</f>
        <v>7.4999999999999997E-2</v>
      </c>
      <c r="AL64" s="1884"/>
      <c r="AM64" s="1611"/>
    </row>
    <row r="65" spans="1:39" ht="15" customHeight="1">
      <c r="A65" s="35"/>
      <c r="B65" s="360" t="s">
        <v>397</v>
      </c>
      <c r="C65" s="360"/>
      <c r="D65" s="542">
        <v>0</v>
      </c>
      <c r="E65" s="523"/>
      <c r="F65" s="542">
        <v>0</v>
      </c>
      <c r="G65" s="523"/>
      <c r="H65" s="542">
        <v>0</v>
      </c>
      <c r="I65" s="274"/>
      <c r="J65" s="542">
        <v>0</v>
      </c>
      <c r="K65" s="565"/>
      <c r="L65" s="542">
        <v>0</v>
      </c>
      <c r="M65" s="565"/>
      <c r="N65" s="542">
        <v>0</v>
      </c>
      <c r="O65" s="565"/>
      <c r="P65" s="542">
        <v>0</v>
      </c>
      <c r="Q65" s="565"/>
      <c r="R65" s="542">
        <v>0</v>
      </c>
      <c r="S65" s="565"/>
      <c r="T65" s="542">
        <v>0</v>
      </c>
      <c r="U65" s="565"/>
      <c r="V65" s="542">
        <v>0</v>
      </c>
      <c r="W65" s="565"/>
      <c r="X65" s="542">
        <f>$AC65-SUM($D65:V65)</f>
        <v>0</v>
      </c>
      <c r="Y65" s="565"/>
      <c r="Z65" s="542"/>
      <c r="AA65" s="299"/>
      <c r="AB65" s="535"/>
      <c r="AC65" s="542">
        <v>0</v>
      </c>
      <c r="AD65" s="274"/>
      <c r="AE65" s="535" t="s">
        <v>103</v>
      </c>
      <c r="AF65" s="542">
        <v>0</v>
      </c>
      <c r="AG65" s="297"/>
      <c r="AH65" s="723"/>
      <c r="AI65" s="274">
        <f>ROUND(SUM(+AC65-AF65),1)</f>
        <v>0</v>
      </c>
      <c r="AJ65" s="274"/>
      <c r="AK65" s="276">
        <f>ROUND(IF(AF65=0,0,AI65/ABS(AF65)),3)</f>
        <v>0</v>
      </c>
      <c r="AL65" s="1884"/>
      <c r="AM65" s="1611"/>
    </row>
    <row r="66" spans="1:39" ht="15.5">
      <c r="A66" s="35"/>
      <c r="B66" s="360" t="s">
        <v>398</v>
      </c>
      <c r="C66" s="360"/>
      <c r="D66" s="542">
        <v>0</v>
      </c>
      <c r="E66" s="523"/>
      <c r="F66" s="542">
        <v>0</v>
      </c>
      <c r="G66" s="523"/>
      <c r="H66" s="542">
        <v>0</v>
      </c>
      <c r="I66" s="274"/>
      <c r="J66" s="542">
        <v>0</v>
      </c>
      <c r="K66" s="565"/>
      <c r="L66" s="542">
        <v>0</v>
      </c>
      <c r="M66" s="565"/>
      <c r="N66" s="542">
        <v>0</v>
      </c>
      <c r="O66" s="565"/>
      <c r="P66" s="542">
        <v>0</v>
      </c>
      <c r="Q66" s="565"/>
      <c r="R66" s="542">
        <v>0</v>
      </c>
      <c r="S66" s="565"/>
      <c r="T66" s="542">
        <v>0</v>
      </c>
      <c r="U66" s="565"/>
      <c r="V66" s="542">
        <v>0.1</v>
      </c>
      <c r="W66" s="565"/>
      <c r="X66" s="542">
        <f>$AC66-SUM($D66:V66)</f>
        <v>0</v>
      </c>
      <c r="Y66" s="565"/>
      <c r="Z66" s="542"/>
      <c r="AA66" s="299"/>
      <c r="AB66" s="535"/>
      <c r="AC66" s="542">
        <v>0.1</v>
      </c>
      <c r="AD66" s="274"/>
      <c r="AE66" s="535" t="s">
        <v>103</v>
      </c>
      <c r="AF66" s="542">
        <v>0.4</v>
      </c>
      <c r="AG66" s="297"/>
      <c r="AH66" s="723"/>
      <c r="AI66" s="274">
        <f>ROUND(SUM(+AC66-AF66),1)</f>
        <v>-0.3</v>
      </c>
      <c r="AJ66" s="274"/>
      <c r="AK66" s="553">
        <f>ROUND(IF(AF66=0,0,AI66/ABS(AF66)),3)</f>
        <v>-0.75</v>
      </c>
      <c r="AL66" s="1884"/>
      <c r="AM66" s="1611"/>
    </row>
    <row r="67" spans="1:39" ht="15" customHeight="1">
      <c r="A67" s="35"/>
      <c r="B67" s="360" t="s">
        <v>399</v>
      </c>
      <c r="C67" s="360"/>
      <c r="D67" s="542" t="s">
        <v>103</v>
      </c>
      <c r="E67" s="523"/>
      <c r="F67" s="542"/>
      <c r="G67" s="523"/>
      <c r="H67" s="542"/>
      <c r="I67" s="274"/>
      <c r="J67" s="542"/>
      <c r="K67" s="274"/>
      <c r="L67" s="542"/>
      <c r="M67" s="274"/>
      <c r="N67" s="542"/>
      <c r="O67" s="274"/>
      <c r="P67" s="542"/>
      <c r="Q67" s="274"/>
      <c r="R67" s="542"/>
      <c r="S67" s="274"/>
      <c r="T67" s="542"/>
      <c r="U67" s="274"/>
      <c r="V67" s="542"/>
      <c r="W67" s="274"/>
      <c r="X67" s="542"/>
      <c r="Y67" s="274"/>
      <c r="Z67" s="523"/>
      <c r="AA67" s="278"/>
      <c r="AB67" s="1051"/>
      <c r="AC67" s="712" t="s">
        <v>103</v>
      </c>
      <c r="AD67" s="274"/>
      <c r="AE67" s="535"/>
      <c r="AF67" s="712" t="s">
        <v>103</v>
      </c>
      <c r="AG67" s="274"/>
      <c r="AH67" s="720"/>
      <c r="AI67" s="274"/>
      <c r="AJ67" s="274"/>
      <c r="AK67" s="293"/>
      <c r="AL67" s="1884"/>
      <c r="AM67" s="1611"/>
    </row>
    <row r="68" spans="1:39" ht="15" customHeight="1">
      <c r="A68" s="35"/>
      <c r="B68" s="360" t="s">
        <v>400</v>
      </c>
      <c r="C68" s="360"/>
      <c r="D68" s="542">
        <v>5</v>
      </c>
      <c r="E68" s="523"/>
      <c r="F68" s="542">
        <v>4.3000000000000007</v>
      </c>
      <c r="G68" s="523"/>
      <c r="H68" s="542">
        <v>4.5999999999999996</v>
      </c>
      <c r="I68" s="274"/>
      <c r="J68" s="542">
        <v>4.4000000000000004</v>
      </c>
      <c r="K68" s="565"/>
      <c r="L68" s="542">
        <v>4.5</v>
      </c>
      <c r="M68" s="565"/>
      <c r="N68" s="542">
        <v>3.5999999999999979</v>
      </c>
      <c r="O68" s="565"/>
      <c r="P68" s="542">
        <v>9.8999999999999986</v>
      </c>
      <c r="Q68" s="565"/>
      <c r="R68" s="542">
        <v>4.9000000000000057</v>
      </c>
      <c r="S68" s="565"/>
      <c r="T68" s="542">
        <v>3.5</v>
      </c>
      <c r="U68" s="565"/>
      <c r="V68" s="542">
        <v>4.7999999999999972</v>
      </c>
      <c r="W68" s="565"/>
      <c r="X68" s="542">
        <f>$AC68-SUM($D68:V68)</f>
        <v>4.7999999999999972</v>
      </c>
      <c r="Y68" s="565"/>
      <c r="Z68" s="542"/>
      <c r="AA68" s="299"/>
      <c r="AB68" s="535"/>
      <c r="AC68" s="542">
        <v>54.3</v>
      </c>
      <c r="AD68" s="274"/>
      <c r="AE68" s="535" t="s">
        <v>103</v>
      </c>
      <c r="AF68" s="542">
        <v>54.7</v>
      </c>
      <c r="AG68" s="274"/>
      <c r="AH68" s="720"/>
      <c r="AI68" s="274">
        <f t="shared" ref="AI68:AI77" si="9">ROUND(SUM(+AC68-AF68),1)</f>
        <v>-0.4</v>
      </c>
      <c r="AJ68" s="274"/>
      <c r="AK68" s="276">
        <f>ROUND(IF(AF68=0,0,AI68/ABS(AF68)),3)</f>
        <v>-7.0000000000000001E-3</v>
      </c>
      <c r="AL68" s="1884"/>
      <c r="AM68" s="1611"/>
    </row>
    <row r="69" spans="1:39" ht="15" customHeight="1">
      <c r="A69" s="35"/>
      <c r="B69" s="360" t="s">
        <v>401</v>
      </c>
      <c r="C69" s="360"/>
      <c r="D69" s="542">
        <v>0</v>
      </c>
      <c r="E69" s="523"/>
      <c r="F69" s="542">
        <v>0</v>
      </c>
      <c r="G69" s="523"/>
      <c r="H69" s="542">
        <v>0</v>
      </c>
      <c r="I69" s="274"/>
      <c r="J69" s="542">
        <v>0</v>
      </c>
      <c r="K69" s="565"/>
      <c r="L69" s="542">
        <v>0</v>
      </c>
      <c r="M69" s="565"/>
      <c r="N69" s="542">
        <v>0</v>
      </c>
      <c r="O69" s="565"/>
      <c r="P69" s="542">
        <v>0</v>
      </c>
      <c r="Q69" s="565"/>
      <c r="R69" s="542">
        <v>0</v>
      </c>
      <c r="S69" s="565"/>
      <c r="T69" s="542">
        <v>0</v>
      </c>
      <c r="U69" s="565"/>
      <c r="V69" s="542">
        <v>0</v>
      </c>
      <c r="W69" s="565"/>
      <c r="X69" s="542">
        <f>$AC69-SUM($D69:V69)</f>
        <v>0</v>
      </c>
      <c r="Y69" s="565"/>
      <c r="Z69" s="542"/>
      <c r="AA69" s="299"/>
      <c r="AB69" s="535"/>
      <c r="AC69" s="542">
        <v>0</v>
      </c>
      <c r="AD69" s="274"/>
      <c r="AE69" s="535" t="s">
        <v>103</v>
      </c>
      <c r="AF69" s="542">
        <v>0</v>
      </c>
      <c r="AG69" s="274"/>
      <c r="AH69" s="720"/>
      <c r="AI69" s="274">
        <f>ROUND(SUM(+AC69-AF69),1)</f>
        <v>0</v>
      </c>
      <c r="AJ69" s="274"/>
      <c r="AK69" s="276">
        <f>ROUND(IF(AF69=0,0,AI69/ABS(AF69)),3)</f>
        <v>0</v>
      </c>
      <c r="AL69" s="1884"/>
      <c r="AM69" s="1611"/>
    </row>
    <row r="70" spans="1:39" ht="15" customHeight="1">
      <c r="A70" s="35"/>
      <c r="B70" s="360" t="s">
        <v>402</v>
      </c>
      <c r="C70" s="360"/>
      <c r="D70" s="542">
        <v>22.4</v>
      </c>
      <c r="E70" s="523"/>
      <c r="F70" s="542">
        <v>4.5</v>
      </c>
      <c r="G70" s="523"/>
      <c r="H70" s="542">
        <v>33.9</v>
      </c>
      <c r="I70" s="274"/>
      <c r="J70" s="542">
        <v>22.200000000000003</v>
      </c>
      <c r="K70" s="565"/>
      <c r="L70" s="542">
        <v>5.3000000000000043</v>
      </c>
      <c r="M70" s="565"/>
      <c r="N70" s="542">
        <v>48.699999999999982</v>
      </c>
      <c r="O70" s="565"/>
      <c r="P70" s="542">
        <v>21.199999999999989</v>
      </c>
      <c r="Q70" s="565"/>
      <c r="R70" s="542">
        <v>2.4000000000000057</v>
      </c>
      <c r="S70" s="565"/>
      <c r="T70" s="542">
        <v>24.200000000000017</v>
      </c>
      <c r="U70" s="565"/>
      <c r="V70" s="542">
        <v>26</v>
      </c>
      <c r="W70" s="565"/>
      <c r="X70" s="542">
        <f>$AC70-SUM($D70:V70)</f>
        <v>4.3999999999999773</v>
      </c>
      <c r="Y70" s="565"/>
      <c r="Z70" s="542"/>
      <c r="AA70" s="299"/>
      <c r="AB70" s="535"/>
      <c r="AC70" s="542">
        <v>215.2</v>
      </c>
      <c r="AD70" s="274"/>
      <c r="AE70" s="535" t="s">
        <v>103</v>
      </c>
      <c r="AF70" s="542">
        <v>207.4</v>
      </c>
      <c r="AG70" s="297"/>
      <c r="AH70" s="723"/>
      <c r="AI70" s="274">
        <f t="shared" si="9"/>
        <v>7.8</v>
      </c>
      <c r="AJ70" s="274"/>
      <c r="AK70" s="276">
        <f>ROUND(IF(AF70=0,0,AI70/ABS(AF70)),3)</f>
        <v>3.7999999999999999E-2</v>
      </c>
      <c r="AL70" s="1884"/>
      <c r="AM70" s="1611"/>
    </row>
    <row r="71" spans="1:39" ht="15" customHeight="1">
      <c r="A71" s="35"/>
      <c r="B71" s="360" t="s">
        <v>403</v>
      </c>
      <c r="C71" s="360"/>
      <c r="D71" s="542">
        <v>16.899999999999999</v>
      </c>
      <c r="E71" s="523"/>
      <c r="F71" s="542">
        <v>8.7000000000000028</v>
      </c>
      <c r="G71" s="523"/>
      <c r="H71" s="542">
        <v>27.4</v>
      </c>
      <c r="I71" s="274"/>
      <c r="J71" s="542">
        <v>17.799999999999997</v>
      </c>
      <c r="K71" s="565"/>
      <c r="L71" s="542">
        <v>13.29999999999999</v>
      </c>
      <c r="M71" s="565"/>
      <c r="N71" s="542">
        <v>22.700000000000017</v>
      </c>
      <c r="O71" s="565"/>
      <c r="P71" s="542">
        <v>16.199999999999989</v>
      </c>
      <c r="Q71" s="565"/>
      <c r="R71" s="542">
        <v>21.199999999999989</v>
      </c>
      <c r="S71" s="565"/>
      <c r="T71" s="542">
        <v>2.9000000000000057</v>
      </c>
      <c r="U71" s="565"/>
      <c r="V71" s="542">
        <v>52.800000000000011</v>
      </c>
      <c r="W71" s="565"/>
      <c r="X71" s="542">
        <f>$AC71-SUM($D71:V71)</f>
        <v>16.400000000000006</v>
      </c>
      <c r="Y71" s="565"/>
      <c r="Z71" s="542"/>
      <c r="AA71" s="299"/>
      <c r="AB71" s="535"/>
      <c r="AC71" s="542">
        <v>216.3</v>
      </c>
      <c r="AD71" s="274"/>
      <c r="AE71" s="535" t="s">
        <v>103</v>
      </c>
      <c r="AF71" s="542">
        <v>206.5</v>
      </c>
      <c r="AG71" s="297"/>
      <c r="AH71" s="723"/>
      <c r="AI71" s="274">
        <f t="shared" si="9"/>
        <v>9.8000000000000007</v>
      </c>
      <c r="AJ71" s="274"/>
      <c r="AK71" s="553">
        <f>ROUND(IF(AF71=0,0,AI71/ABS(AF71)),3)</f>
        <v>4.7E-2</v>
      </c>
      <c r="AL71" s="1884"/>
      <c r="AM71" s="1611"/>
    </row>
    <row r="72" spans="1:39" ht="15" customHeight="1">
      <c r="A72" s="35"/>
      <c r="B72" s="360" t="s">
        <v>404</v>
      </c>
      <c r="C72" s="360"/>
      <c r="D72" s="542">
        <v>0.1</v>
      </c>
      <c r="E72" s="523"/>
      <c r="F72" s="542">
        <v>0.1</v>
      </c>
      <c r="G72" s="523"/>
      <c r="H72" s="542">
        <v>9.9999999999999978E-2</v>
      </c>
      <c r="I72" s="274"/>
      <c r="J72" s="542">
        <v>0</v>
      </c>
      <c r="K72" s="565"/>
      <c r="L72" s="542">
        <v>0.10000000000000006</v>
      </c>
      <c r="M72" s="565"/>
      <c r="N72" s="542">
        <v>0.1</v>
      </c>
      <c r="O72" s="565"/>
      <c r="P72" s="542">
        <v>9.9999999999999978E-2</v>
      </c>
      <c r="Q72" s="565"/>
      <c r="R72" s="542">
        <v>9.9999999999999978E-2</v>
      </c>
      <c r="S72" s="565"/>
      <c r="T72" s="542">
        <v>0</v>
      </c>
      <c r="U72" s="565"/>
      <c r="V72" s="542">
        <v>0.20000000000000007</v>
      </c>
      <c r="W72" s="565"/>
      <c r="X72" s="542">
        <f>$AC72-SUM($D72:V72)</f>
        <v>9.9999999999999978E-2</v>
      </c>
      <c r="Y72" s="565"/>
      <c r="Z72" s="542"/>
      <c r="AA72" s="299"/>
      <c r="AB72" s="535"/>
      <c r="AC72" s="542">
        <v>1</v>
      </c>
      <c r="AD72" s="274"/>
      <c r="AE72" s="535" t="s">
        <v>103</v>
      </c>
      <c r="AF72" s="542">
        <v>1.2</v>
      </c>
      <c r="AG72" s="297"/>
      <c r="AH72" s="723"/>
      <c r="AI72" s="274">
        <f t="shared" si="9"/>
        <v>-0.2</v>
      </c>
      <c r="AJ72" s="274"/>
      <c r="AK72" s="553">
        <f>ROUND(IF(AF72=0,1,AI72/ABS(AF72)),3)</f>
        <v>-0.16700000000000001</v>
      </c>
      <c r="AL72" s="1884"/>
      <c r="AM72" s="1611"/>
    </row>
    <row r="73" spans="1:39" ht="15" customHeight="1">
      <c r="A73" s="35"/>
      <c r="B73" s="360" t="s">
        <v>405</v>
      </c>
      <c r="C73" s="360"/>
      <c r="D73" s="542">
        <v>44</v>
      </c>
      <c r="E73" s="523"/>
      <c r="F73" s="542">
        <v>57.3</v>
      </c>
      <c r="G73" s="523"/>
      <c r="H73" s="542">
        <v>3.7999999999999972</v>
      </c>
      <c r="I73" s="274"/>
      <c r="J73" s="542">
        <v>31.599999999999994</v>
      </c>
      <c r="K73" s="565"/>
      <c r="L73" s="542">
        <v>20.200000000000017</v>
      </c>
      <c r="M73" s="565"/>
      <c r="N73" s="542">
        <v>-2.3000000000000114</v>
      </c>
      <c r="O73" s="565"/>
      <c r="P73" s="542">
        <v>50.700000000000017</v>
      </c>
      <c r="Q73" s="565"/>
      <c r="R73" s="542">
        <v>5.7999999999999829</v>
      </c>
      <c r="S73" s="565"/>
      <c r="T73" s="542">
        <v>25.599999999999994</v>
      </c>
      <c r="U73" s="565"/>
      <c r="V73" s="542">
        <v>36.399999999999977</v>
      </c>
      <c r="W73" s="565"/>
      <c r="X73" s="542">
        <f>$AC73-SUM($D73:V73)</f>
        <v>7.0000000000000568</v>
      </c>
      <c r="Y73" s="565"/>
      <c r="Z73" s="542"/>
      <c r="AA73" s="299"/>
      <c r="AB73" s="535"/>
      <c r="AC73" s="542">
        <v>280.10000000000002</v>
      </c>
      <c r="AD73" s="274"/>
      <c r="AE73" s="535" t="s">
        <v>103</v>
      </c>
      <c r="AF73" s="542">
        <v>204.3</v>
      </c>
      <c r="AG73" s="297"/>
      <c r="AH73" s="723"/>
      <c r="AI73" s="274">
        <f t="shared" si="9"/>
        <v>75.8</v>
      </c>
      <c r="AJ73" s="274"/>
      <c r="AK73" s="553">
        <f>ROUND(IF(AF73=0,1,AI73/ABS(AF73)),3)</f>
        <v>0.371</v>
      </c>
      <c r="AL73" s="1884"/>
      <c r="AM73" s="1611"/>
    </row>
    <row r="74" spans="1:39" ht="15" customHeight="1">
      <c r="A74" s="35"/>
      <c r="B74" s="360" t="s">
        <v>406</v>
      </c>
      <c r="C74" s="360"/>
      <c r="D74" s="542">
        <v>1.5</v>
      </c>
      <c r="E74" s="523"/>
      <c r="F74" s="542">
        <v>0.89999999999999991</v>
      </c>
      <c r="G74" s="523"/>
      <c r="H74" s="542">
        <v>2.6999999999999997</v>
      </c>
      <c r="I74" s="274"/>
      <c r="J74" s="542">
        <v>1</v>
      </c>
      <c r="K74" s="565"/>
      <c r="L74" s="542">
        <v>1.8000000000000003</v>
      </c>
      <c r="M74" s="565"/>
      <c r="N74" s="542">
        <v>2.1999999999999997</v>
      </c>
      <c r="O74" s="565"/>
      <c r="P74" s="542">
        <v>2</v>
      </c>
      <c r="Q74" s="565"/>
      <c r="R74" s="542">
        <v>2.4000000000000004</v>
      </c>
      <c r="S74" s="565"/>
      <c r="T74" s="542">
        <v>0</v>
      </c>
      <c r="U74" s="565"/>
      <c r="V74" s="542">
        <v>5.5</v>
      </c>
      <c r="W74" s="565"/>
      <c r="X74" s="542">
        <f>$AC74-SUM($D74:V74)</f>
        <v>1.3000000000000007</v>
      </c>
      <c r="Y74" s="565"/>
      <c r="Z74" s="542"/>
      <c r="AA74" s="1263"/>
      <c r="AB74" s="274"/>
      <c r="AC74" s="542">
        <v>21.3</v>
      </c>
      <c r="AD74" s="274"/>
      <c r="AE74" s="535" t="s">
        <v>103</v>
      </c>
      <c r="AF74" s="542">
        <v>8.6</v>
      </c>
      <c r="AG74" s="297"/>
      <c r="AH74" s="723"/>
      <c r="AI74" s="274">
        <f t="shared" si="9"/>
        <v>12.7</v>
      </c>
      <c r="AJ74" s="274"/>
      <c r="AK74" s="553">
        <f>ROUND(IF(AF74=0,1,AI74/ABS(AF74)),3)</f>
        <v>1.4770000000000001</v>
      </c>
      <c r="AL74" s="1884"/>
      <c r="AM74" s="1611"/>
    </row>
    <row r="75" spans="1:39" ht="15" customHeight="1">
      <c r="A75" s="35"/>
      <c r="B75" s="360" t="s">
        <v>407</v>
      </c>
      <c r="C75" s="360"/>
      <c r="D75" s="542">
        <v>35.700000000000003</v>
      </c>
      <c r="E75" s="523"/>
      <c r="F75" s="542">
        <v>28.199999999999996</v>
      </c>
      <c r="G75" s="523"/>
      <c r="H75" s="542">
        <v>26.1</v>
      </c>
      <c r="I75" s="274"/>
      <c r="J75" s="542">
        <v>8.7000000000000028</v>
      </c>
      <c r="K75" s="565"/>
      <c r="L75" s="542">
        <v>56.899999999999991</v>
      </c>
      <c r="M75" s="565"/>
      <c r="N75" s="542">
        <v>21.100000000000023</v>
      </c>
      <c r="O75" s="565"/>
      <c r="P75" s="542">
        <v>23.299999999999983</v>
      </c>
      <c r="Q75" s="565"/>
      <c r="R75" s="542">
        <v>28.5</v>
      </c>
      <c r="S75" s="565"/>
      <c r="T75" s="542">
        <v>22.599999999999994</v>
      </c>
      <c r="U75" s="565"/>
      <c r="V75" s="542">
        <v>30.099999999999994</v>
      </c>
      <c r="W75" s="565"/>
      <c r="X75" s="542">
        <f>$AC75-SUM($D75:V75)</f>
        <v>9</v>
      </c>
      <c r="Y75" s="565"/>
      <c r="Z75" s="542"/>
      <c r="AA75" s="1263"/>
      <c r="AB75" s="274"/>
      <c r="AC75" s="542">
        <v>290.2</v>
      </c>
      <c r="AD75" s="1264"/>
      <c r="AE75" s="274" t="s">
        <v>103</v>
      </c>
      <c r="AF75" s="542">
        <v>342</v>
      </c>
      <c r="AG75" s="297"/>
      <c r="AH75" s="723"/>
      <c r="AI75" s="274">
        <f t="shared" si="9"/>
        <v>-51.8</v>
      </c>
      <c r="AJ75" s="274"/>
      <c r="AK75" s="553">
        <f>ROUND(IF(AF75=0,0,AI75/ABS(AF75)),3)</f>
        <v>-0.151</v>
      </c>
      <c r="AL75" s="1884"/>
      <c r="AM75" s="1611"/>
    </row>
    <row r="76" spans="1:39" s="67" customFormat="1" ht="15" customHeight="1">
      <c r="A76" s="35"/>
      <c r="B76" s="360" t="s">
        <v>408</v>
      </c>
      <c r="C76" s="301"/>
      <c r="D76" s="542" t="s">
        <v>103</v>
      </c>
      <c r="E76" s="523"/>
      <c r="F76" s="542"/>
      <c r="G76" s="523"/>
      <c r="H76" s="542"/>
      <c r="I76" s="274"/>
      <c r="J76" s="542"/>
      <c r="K76" s="274"/>
      <c r="L76" s="542"/>
      <c r="M76" s="274"/>
      <c r="N76" s="542"/>
      <c r="O76" s="274"/>
      <c r="P76" s="542"/>
      <c r="Q76" s="274"/>
      <c r="R76" s="542"/>
      <c r="S76" s="274"/>
      <c r="T76" s="542"/>
      <c r="U76" s="274"/>
      <c r="V76" s="542"/>
      <c r="W76" s="274"/>
      <c r="X76" s="542"/>
      <c r="Y76" s="274"/>
      <c r="Z76" s="523"/>
      <c r="AA76" s="1265"/>
      <c r="AB76" s="274"/>
      <c r="AC76" s="274" t="s">
        <v>103</v>
      </c>
      <c r="AD76" s="1264"/>
      <c r="AE76" s="274"/>
      <c r="AF76" s="274" t="s">
        <v>103</v>
      </c>
      <c r="AG76" s="297"/>
      <c r="AH76" s="723"/>
      <c r="AI76" s="274"/>
      <c r="AJ76" s="274"/>
      <c r="AK76" s="274"/>
      <c r="AL76" s="1884"/>
      <c r="AM76" s="1148"/>
    </row>
    <row r="77" spans="1:39" s="67" customFormat="1" ht="15" customHeight="1">
      <c r="A77" s="35"/>
      <c r="B77" s="360" t="s">
        <v>456</v>
      </c>
      <c r="C77" s="301"/>
      <c r="D77" s="542">
        <v>5</v>
      </c>
      <c r="E77" s="523"/>
      <c r="F77" s="542">
        <v>0</v>
      </c>
      <c r="G77" s="523"/>
      <c r="H77" s="542">
        <v>0</v>
      </c>
      <c r="I77" s="274"/>
      <c r="J77" s="542">
        <v>0</v>
      </c>
      <c r="K77" s="565"/>
      <c r="L77" s="542">
        <v>0</v>
      </c>
      <c r="M77" s="565"/>
      <c r="N77" s="542">
        <v>0</v>
      </c>
      <c r="O77" s="565"/>
      <c r="P77" s="542">
        <v>0</v>
      </c>
      <c r="Q77" s="565"/>
      <c r="R77" s="542">
        <v>0</v>
      </c>
      <c r="S77" s="565"/>
      <c r="T77" s="542">
        <v>0</v>
      </c>
      <c r="U77" s="565"/>
      <c r="V77" s="542">
        <v>0</v>
      </c>
      <c r="W77" s="565"/>
      <c r="X77" s="542">
        <f>$AC77-SUM($D77:V77)</f>
        <v>0</v>
      </c>
      <c r="Y77" s="565"/>
      <c r="Z77" s="542"/>
      <c r="AA77" s="1263"/>
      <c r="AB77" s="274"/>
      <c r="AC77" s="542">
        <v>5</v>
      </c>
      <c r="AD77" s="1883" t="s">
        <v>103</v>
      </c>
      <c r="AE77" s="297"/>
      <c r="AF77" s="542">
        <v>5</v>
      </c>
      <c r="AG77" s="297"/>
      <c r="AH77" s="723"/>
      <c r="AI77" s="274">
        <f t="shared" si="9"/>
        <v>0</v>
      </c>
      <c r="AJ77" s="274"/>
      <c r="AK77" s="293">
        <f>ROUND(IF(AF77=0,1,AI77/ABS(AF77)),3)</f>
        <v>0</v>
      </c>
      <c r="AL77" s="1884"/>
      <c r="AM77" s="1148"/>
    </row>
    <row r="78" spans="1:39" ht="15" customHeight="1">
      <c r="A78" s="35"/>
      <c r="B78" s="360" t="s">
        <v>413</v>
      </c>
      <c r="C78" s="360"/>
      <c r="D78" s="542">
        <v>238.3</v>
      </c>
      <c r="E78" s="523"/>
      <c r="F78" s="542">
        <v>217.3</v>
      </c>
      <c r="G78" s="523"/>
      <c r="H78" s="542">
        <v>227.19999999999993</v>
      </c>
      <c r="I78" s="274"/>
      <c r="J78" s="542">
        <v>215.8</v>
      </c>
      <c r="K78" s="565"/>
      <c r="L78" s="542">
        <v>233.80000000000024</v>
      </c>
      <c r="M78" s="565"/>
      <c r="N78" s="542">
        <v>223.59999999999991</v>
      </c>
      <c r="O78" s="565"/>
      <c r="P78" s="542">
        <v>219.29999999999995</v>
      </c>
      <c r="Q78" s="565"/>
      <c r="R78" s="542">
        <v>202.60000000000014</v>
      </c>
      <c r="S78" s="565"/>
      <c r="T78" s="542">
        <v>176.39999999999986</v>
      </c>
      <c r="U78" s="565"/>
      <c r="V78" s="542">
        <v>189.79999999999995</v>
      </c>
      <c r="W78" s="565"/>
      <c r="X78" s="542">
        <f>$AC78-SUM($D78:V78)</f>
        <v>214.09999999999991</v>
      </c>
      <c r="Y78" s="565"/>
      <c r="Z78" s="542"/>
      <c r="AA78" s="1263"/>
      <c r="AB78" s="274"/>
      <c r="AC78" s="542">
        <v>2358.1999999999998</v>
      </c>
      <c r="AD78" s="1264"/>
      <c r="AE78" s="274" t="s">
        <v>103</v>
      </c>
      <c r="AF78" s="542">
        <v>2231.9</v>
      </c>
      <c r="AG78" s="297"/>
      <c r="AH78" s="723"/>
      <c r="AI78" s="274">
        <f>ROUND(SUM(+AC78-AF78),1)</f>
        <v>126.3</v>
      </c>
      <c r="AJ78" s="274"/>
      <c r="AK78" s="553">
        <f>ROUND(IF(AF78=0,1,AI78/ABS(AF78)),3)</f>
        <v>5.7000000000000002E-2</v>
      </c>
      <c r="AL78" s="1884"/>
      <c r="AM78" s="1611"/>
    </row>
    <row r="79" spans="1:39" ht="15" customHeight="1">
      <c r="A79" s="35"/>
      <c r="B79" s="360" t="s">
        <v>414</v>
      </c>
      <c r="C79" s="360"/>
      <c r="D79" s="542">
        <v>0</v>
      </c>
      <c r="E79" s="523"/>
      <c r="F79" s="542">
        <v>0.1</v>
      </c>
      <c r="G79" s="523"/>
      <c r="H79" s="542">
        <v>0</v>
      </c>
      <c r="I79" s="274"/>
      <c r="J79" s="542">
        <v>0</v>
      </c>
      <c r="K79" s="565"/>
      <c r="L79" s="542">
        <v>0</v>
      </c>
      <c r="M79" s="565"/>
      <c r="N79" s="542">
        <v>0</v>
      </c>
      <c r="O79" s="565"/>
      <c r="P79" s="542">
        <v>0.1</v>
      </c>
      <c r="Q79" s="565"/>
      <c r="R79" s="542">
        <v>0</v>
      </c>
      <c r="S79" s="565"/>
      <c r="T79" s="542">
        <v>0</v>
      </c>
      <c r="U79" s="565"/>
      <c r="V79" s="542">
        <v>0</v>
      </c>
      <c r="W79" s="565"/>
      <c r="X79" s="542">
        <f>$AC79-SUM($D79:V79)</f>
        <v>0</v>
      </c>
      <c r="Y79" s="565"/>
      <c r="Z79" s="542"/>
      <c r="AA79" s="299"/>
      <c r="AB79" s="535"/>
      <c r="AC79" s="542">
        <v>0.2</v>
      </c>
      <c r="AD79" s="274"/>
      <c r="AE79" s="535" t="s">
        <v>103</v>
      </c>
      <c r="AF79" s="542">
        <v>0.2</v>
      </c>
      <c r="AG79" s="297"/>
      <c r="AH79" s="723"/>
      <c r="AI79" s="274">
        <f>ROUND(SUM(+AC79-AF79),1)</f>
        <v>0</v>
      </c>
      <c r="AJ79" s="274"/>
      <c r="AK79" s="276">
        <f>ROUND(IF(AF79=0,1,AI79/ABS(AF79)),3)</f>
        <v>0</v>
      </c>
      <c r="AL79" s="1884"/>
      <c r="AM79" s="1611"/>
    </row>
    <row r="80" spans="1:39" ht="15" customHeight="1">
      <c r="A80" s="35"/>
      <c r="B80" s="360" t="s">
        <v>415</v>
      </c>
      <c r="C80" s="360"/>
      <c r="D80" s="542" t="s">
        <v>103</v>
      </c>
      <c r="E80" s="523"/>
      <c r="F80" s="542"/>
      <c r="G80" s="523"/>
      <c r="H80" s="542"/>
      <c r="I80" s="274"/>
      <c r="J80" s="542"/>
      <c r="K80" s="274"/>
      <c r="L80" s="542"/>
      <c r="M80" s="274"/>
      <c r="N80" s="542"/>
      <c r="O80" s="274"/>
      <c r="P80" s="542"/>
      <c r="Q80" s="274"/>
      <c r="R80" s="542"/>
      <c r="S80" s="274"/>
      <c r="T80" s="542"/>
      <c r="U80" s="274"/>
      <c r="V80" s="542"/>
      <c r="W80" s="274"/>
      <c r="X80" s="542"/>
      <c r="Y80" s="274"/>
      <c r="Z80" s="523"/>
      <c r="AA80" s="278"/>
      <c r="AB80" s="1051"/>
      <c r="AC80" s="712" t="s">
        <v>103</v>
      </c>
      <c r="AD80" s="274"/>
      <c r="AE80" s="535"/>
      <c r="AF80" s="712" t="s">
        <v>103</v>
      </c>
      <c r="AG80" s="274"/>
      <c r="AH80" s="720"/>
      <c r="AI80" s="274"/>
      <c r="AJ80" s="274"/>
      <c r="AK80" s="293"/>
      <c r="AL80" s="1884"/>
      <c r="AM80" s="1611"/>
    </row>
    <row r="81" spans="1:39" ht="15" customHeight="1">
      <c r="A81" s="35"/>
      <c r="B81" s="360" t="s">
        <v>416</v>
      </c>
      <c r="C81" s="360"/>
      <c r="D81" s="542">
        <v>0</v>
      </c>
      <c r="E81" s="523"/>
      <c r="F81" s="542">
        <v>0</v>
      </c>
      <c r="G81" s="523"/>
      <c r="H81" s="542">
        <v>0</v>
      </c>
      <c r="I81" s="274"/>
      <c r="J81" s="542">
        <v>0</v>
      </c>
      <c r="K81" s="274"/>
      <c r="L81" s="542">
        <v>0</v>
      </c>
      <c r="M81" s="274"/>
      <c r="N81" s="542">
        <v>0</v>
      </c>
      <c r="O81" s="274"/>
      <c r="P81" s="542">
        <v>0</v>
      </c>
      <c r="Q81" s="274"/>
      <c r="R81" s="542">
        <v>0</v>
      </c>
      <c r="S81" s="274"/>
      <c r="T81" s="542">
        <v>0</v>
      </c>
      <c r="U81" s="274"/>
      <c r="V81" s="542">
        <v>0</v>
      </c>
      <c r="W81" s="274"/>
      <c r="X81" s="542">
        <f>$AC81-SUM($D81:V81)</f>
        <v>0</v>
      </c>
      <c r="Y81" s="274"/>
      <c r="Z81" s="542"/>
      <c r="AA81" s="278"/>
      <c r="AB81" s="1051"/>
      <c r="AC81" s="542">
        <v>0</v>
      </c>
      <c r="AD81" s="274"/>
      <c r="AE81" s="535"/>
      <c r="AF81" s="542">
        <v>0</v>
      </c>
      <c r="AG81" s="274"/>
      <c r="AH81" s="720"/>
      <c r="AI81" s="274">
        <f t="shared" ref="AI81:AI85" si="10">ROUND(SUM(+AC81-AF81),1)</f>
        <v>0</v>
      </c>
      <c r="AJ81" s="274"/>
      <c r="AK81" s="276">
        <f>ROUND(IF(AF81=0,0,AI81/ABS(AF81)),3)</f>
        <v>0</v>
      </c>
      <c r="AL81" s="1884"/>
      <c r="AM81" s="1611"/>
    </row>
    <row r="82" spans="1:39" ht="15" customHeight="1">
      <c r="A82" s="35"/>
      <c r="B82" s="360" t="s">
        <v>417</v>
      </c>
      <c r="C82" s="360"/>
      <c r="D82" s="542">
        <v>0</v>
      </c>
      <c r="E82" s="523"/>
      <c r="F82" s="542">
        <v>0</v>
      </c>
      <c r="G82" s="523"/>
      <c r="H82" s="542">
        <v>0</v>
      </c>
      <c r="I82" s="274"/>
      <c r="J82" s="542">
        <v>0</v>
      </c>
      <c r="K82" s="565"/>
      <c r="L82" s="542">
        <v>0</v>
      </c>
      <c r="M82" s="565"/>
      <c r="N82" s="542">
        <v>0</v>
      </c>
      <c r="O82" s="565"/>
      <c r="P82" s="542">
        <v>0</v>
      </c>
      <c r="Q82" s="565"/>
      <c r="R82" s="542">
        <v>0</v>
      </c>
      <c r="S82" s="565"/>
      <c r="T82" s="542">
        <v>17.2</v>
      </c>
      <c r="U82" s="565"/>
      <c r="V82" s="542">
        <v>0.19999999999999929</v>
      </c>
      <c r="W82" s="565"/>
      <c r="X82" s="542">
        <f>$AC82-SUM($D82:V82)</f>
        <v>0</v>
      </c>
      <c r="Y82" s="565"/>
      <c r="Z82" s="542"/>
      <c r="AA82" s="299"/>
      <c r="AB82" s="535"/>
      <c r="AC82" s="542">
        <v>17.399999999999999</v>
      </c>
      <c r="AD82" s="274"/>
      <c r="AE82" s="535" t="s">
        <v>103</v>
      </c>
      <c r="AF82" s="542">
        <v>2.9</v>
      </c>
      <c r="AG82" s="297"/>
      <c r="AH82" s="723"/>
      <c r="AI82" s="274">
        <f t="shared" si="10"/>
        <v>14.5</v>
      </c>
      <c r="AJ82" s="274"/>
      <c r="AK82" s="276">
        <f t="shared" ref="AK82:AK84" si="11">ROUND(IF(AF82=0,0,AI82/ABS(AF82)),3)</f>
        <v>5</v>
      </c>
      <c r="AL82" s="1884"/>
      <c r="AM82" s="1611"/>
    </row>
    <row r="83" spans="1:39" ht="15" customHeight="1">
      <c r="A83" s="35"/>
      <c r="B83" s="360" t="s">
        <v>418</v>
      </c>
      <c r="C83" s="360"/>
      <c r="D83" s="542">
        <v>0</v>
      </c>
      <c r="E83" s="523"/>
      <c r="F83" s="542">
        <v>0</v>
      </c>
      <c r="G83" s="523"/>
      <c r="H83" s="542">
        <v>0.7</v>
      </c>
      <c r="I83" s="274"/>
      <c r="J83" s="542">
        <v>4.0999999999999996</v>
      </c>
      <c r="K83" s="565"/>
      <c r="L83" s="542">
        <v>0.10000000000000053</v>
      </c>
      <c r="M83" s="565"/>
      <c r="N83" s="542">
        <v>1.1999999999999993</v>
      </c>
      <c r="O83" s="565"/>
      <c r="P83" s="542">
        <v>2.5</v>
      </c>
      <c r="Q83" s="565"/>
      <c r="R83" s="542">
        <v>9.9999999999999645E-2</v>
      </c>
      <c r="S83" s="565"/>
      <c r="T83" s="542">
        <v>4.3000000000000007</v>
      </c>
      <c r="U83" s="565"/>
      <c r="V83" s="542">
        <v>1.1999999999999993</v>
      </c>
      <c r="W83" s="565"/>
      <c r="X83" s="542">
        <f>$AC83-SUM($D83:V83)</f>
        <v>0</v>
      </c>
      <c r="Y83" s="565"/>
      <c r="Z83" s="542"/>
      <c r="AA83" s="299"/>
      <c r="AB83" s="535"/>
      <c r="AC83" s="542">
        <v>14.2</v>
      </c>
      <c r="AD83" s="274"/>
      <c r="AE83" s="535" t="s">
        <v>103</v>
      </c>
      <c r="AF83" s="542">
        <v>46</v>
      </c>
      <c r="AG83" s="297"/>
      <c r="AH83" s="723"/>
      <c r="AI83" s="274">
        <f t="shared" si="10"/>
        <v>-31.8</v>
      </c>
      <c r="AJ83" s="274"/>
      <c r="AK83" s="276">
        <f>ROUND(IF(AF83=0,1,AI83/ABS(AF83)),3)</f>
        <v>-0.69099999999999995</v>
      </c>
      <c r="AL83" s="1884"/>
      <c r="AM83" s="1611"/>
    </row>
    <row r="84" spans="1:39" ht="15" customHeight="1">
      <c r="A84" s="35"/>
      <c r="B84" s="360" t="s">
        <v>419</v>
      </c>
      <c r="C84" s="360"/>
      <c r="D84" s="542">
        <v>0</v>
      </c>
      <c r="E84" s="523"/>
      <c r="F84" s="542">
        <v>0</v>
      </c>
      <c r="G84" s="523"/>
      <c r="H84" s="542">
        <v>0</v>
      </c>
      <c r="I84" s="274"/>
      <c r="J84" s="542">
        <v>0</v>
      </c>
      <c r="K84" s="565"/>
      <c r="L84" s="542">
        <v>0</v>
      </c>
      <c r="M84" s="565"/>
      <c r="N84" s="542">
        <v>0</v>
      </c>
      <c r="O84" s="565"/>
      <c r="P84" s="542">
        <v>0</v>
      </c>
      <c r="Q84" s="565"/>
      <c r="R84" s="542">
        <v>0</v>
      </c>
      <c r="S84" s="565"/>
      <c r="T84" s="542">
        <v>4.9000000000000004</v>
      </c>
      <c r="U84" s="565"/>
      <c r="V84" s="542">
        <v>0</v>
      </c>
      <c r="W84" s="565"/>
      <c r="X84" s="542">
        <f>$AC84-SUM($D84:V84)</f>
        <v>0</v>
      </c>
      <c r="Y84" s="565"/>
      <c r="Z84" s="542"/>
      <c r="AA84" s="299"/>
      <c r="AB84" s="535"/>
      <c r="AC84" s="542">
        <v>4.9000000000000004</v>
      </c>
      <c r="AD84" s="274"/>
      <c r="AE84" s="535" t="s">
        <v>103</v>
      </c>
      <c r="AF84" s="542">
        <v>4</v>
      </c>
      <c r="AG84" s="297"/>
      <c r="AH84" s="723"/>
      <c r="AI84" s="274">
        <f t="shared" si="10"/>
        <v>0.9</v>
      </c>
      <c r="AJ84" s="274"/>
      <c r="AK84" s="276">
        <f t="shared" si="11"/>
        <v>0.22500000000000001</v>
      </c>
      <c r="AL84" s="1884"/>
      <c r="AM84" s="1611"/>
    </row>
    <row r="85" spans="1:39" ht="15" customHeight="1">
      <c r="A85" s="35"/>
      <c r="B85" s="360" t="s">
        <v>420</v>
      </c>
      <c r="C85" s="360"/>
      <c r="D85" s="542">
        <v>0.1</v>
      </c>
      <c r="E85" s="523"/>
      <c r="F85" s="542">
        <v>0.19999999999999998</v>
      </c>
      <c r="G85" s="523"/>
      <c r="H85" s="542">
        <v>0.4</v>
      </c>
      <c r="I85" s="274"/>
      <c r="J85" s="542">
        <v>0.20000000000000007</v>
      </c>
      <c r="K85" s="565"/>
      <c r="L85" s="542">
        <v>0.19999999999999996</v>
      </c>
      <c r="M85" s="565"/>
      <c r="N85" s="542">
        <v>9.9999999999999867E-2</v>
      </c>
      <c r="O85" s="565"/>
      <c r="P85" s="542">
        <v>0.10000000000000009</v>
      </c>
      <c r="Q85" s="565"/>
      <c r="R85" s="542">
        <v>9.9999999999999867E-2</v>
      </c>
      <c r="S85" s="565"/>
      <c r="T85" s="542">
        <v>0.30000000000000004</v>
      </c>
      <c r="U85" s="565"/>
      <c r="V85" s="542">
        <v>0.10000000000000009</v>
      </c>
      <c r="W85" s="565"/>
      <c r="X85" s="542">
        <f>$AC85-SUM($D85:V85)</f>
        <v>9.9999999999999867E-2</v>
      </c>
      <c r="Y85" s="565"/>
      <c r="Z85" s="542"/>
      <c r="AA85" s="299"/>
      <c r="AB85" s="535"/>
      <c r="AC85" s="542">
        <v>1.9</v>
      </c>
      <c r="AD85" s="274"/>
      <c r="AE85" s="535" t="s">
        <v>103</v>
      </c>
      <c r="AF85" s="542">
        <v>1.4</v>
      </c>
      <c r="AG85" s="297"/>
      <c r="AH85" s="723"/>
      <c r="AI85" s="274">
        <f t="shared" si="10"/>
        <v>0.5</v>
      </c>
      <c r="AJ85" s="274"/>
      <c r="AK85" s="276">
        <f t="shared" ref="AK85" si="12">ROUND(IF(AF85=0,0,AI85/ABS(AF85)),3)</f>
        <v>0.35699999999999998</v>
      </c>
      <c r="AL85" s="1884"/>
      <c r="AM85" s="1611"/>
    </row>
    <row r="86" spans="1:39" ht="15" customHeight="1">
      <c r="A86" s="35"/>
      <c r="B86" s="360" t="s">
        <v>421</v>
      </c>
      <c r="C86" s="360"/>
      <c r="D86" s="542" t="s">
        <v>103</v>
      </c>
      <c r="E86" s="523"/>
      <c r="F86" s="542"/>
      <c r="G86" s="523"/>
      <c r="H86" s="542"/>
      <c r="I86" s="274"/>
      <c r="J86" s="542"/>
      <c r="K86" s="274"/>
      <c r="L86" s="542"/>
      <c r="M86" s="274"/>
      <c r="N86" s="542"/>
      <c r="O86" s="274"/>
      <c r="P86" s="542"/>
      <c r="Q86" s="274"/>
      <c r="R86" s="542"/>
      <c r="S86" s="274"/>
      <c r="T86" s="542"/>
      <c r="U86" s="274"/>
      <c r="V86" s="542"/>
      <c r="W86" s="274"/>
      <c r="X86" s="542"/>
      <c r="Y86" s="274"/>
      <c r="Z86" s="523"/>
      <c r="AA86" s="278"/>
      <c r="AB86" s="1051"/>
      <c r="AC86" s="712" t="s">
        <v>457</v>
      </c>
      <c r="AD86" s="274"/>
      <c r="AE86" s="535" t="s">
        <v>103</v>
      </c>
      <c r="AF86" s="712" t="s">
        <v>457</v>
      </c>
      <c r="AG86" s="274"/>
      <c r="AH86" s="720"/>
      <c r="AI86" s="274"/>
      <c r="AJ86" s="274"/>
      <c r="AK86" s="293"/>
      <c r="AL86" s="1884"/>
      <c r="AM86" s="1611"/>
    </row>
    <row r="87" spans="1:39" ht="15" customHeight="1">
      <c r="A87" s="35"/>
      <c r="B87" s="360" t="s">
        <v>422</v>
      </c>
      <c r="C87" s="360"/>
      <c r="D87" s="542">
        <v>0.4</v>
      </c>
      <c r="E87" s="523"/>
      <c r="F87" s="542">
        <v>0.5</v>
      </c>
      <c r="G87" s="523"/>
      <c r="H87" s="542">
        <v>18.200000000000003</v>
      </c>
      <c r="I87" s="274"/>
      <c r="J87" s="542">
        <v>0.39999999999999858</v>
      </c>
      <c r="K87" s="565"/>
      <c r="L87" s="542">
        <v>0.5</v>
      </c>
      <c r="M87" s="565"/>
      <c r="N87" s="542">
        <v>17.100000000000001</v>
      </c>
      <c r="O87" s="565"/>
      <c r="P87" s="542">
        <v>0.39999999999999858</v>
      </c>
      <c r="Q87" s="565"/>
      <c r="R87" s="542">
        <v>0.29999999999999716</v>
      </c>
      <c r="S87" s="565"/>
      <c r="T87" s="542">
        <v>17.900000000000006</v>
      </c>
      <c r="U87" s="565"/>
      <c r="V87" s="542">
        <v>0.19999999999999574</v>
      </c>
      <c r="W87" s="565"/>
      <c r="X87" s="542">
        <f>$AC87-SUM($D87:V87)</f>
        <v>0.30000000000000426</v>
      </c>
      <c r="Y87" s="565"/>
      <c r="Z87" s="542"/>
      <c r="AA87" s="299"/>
      <c r="AB87" s="535"/>
      <c r="AC87" s="542">
        <v>56.2</v>
      </c>
      <c r="AD87" s="274"/>
      <c r="AE87" s="535" t="s">
        <v>103</v>
      </c>
      <c r="AF87" s="542">
        <v>52.2</v>
      </c>
      <c r="AG87" s="297"/>
      <c r="AH87" s="723"/>
      <c r="AI87" s="274">
        <f t="shared" ref="AI87:AI96" si="13">ROUND(SUM(+AC87-AF87),1)</f>
        <v>4</v>
      </c>
      <c r="AJ87" s="274"/>
      <c r="AK87" s="276">
        <f t="shared" ref="AK87" si="14">ROUND(IF(AF87=0,1,AI87/ABS(AF87)),3)</f>
        <v>7.6999999999999999E-2</v>
      </c>
      <c r="AL87" s="1884"/>
      <c r="AM87" s="1611"/>
    </row>
    <row r="88" spans="1:39" ht="15" customHeight="1">
      <c r="A88" s="35"/>
      <c r="B88" s="360" t="s">
        <v>423</v>
      </c>
      <c r="C88" s="360"/>
      <c r="D88" s="542">
        <v>1.6</v>
      </c>
      <c r="E88" s="523"/>
      <c r="F88" s="542">
        <v>9.9999999999999867E-2</v>
      </c>
      <c r="G88" s="523"/>
      <c r="H88" s="542">
        <v>0.19999999999999996</v>
      </c>
      <c r="I88" s="274"/>
      <c r="J88" s="542">
        <v>-0.19999999999999996</v>
      </c>
      <c r="K88" s="565"/>
      <c r="L88" s="542">
        <v>0.10000000000000009</v>
      </c>
      <c r="M88" s="565"/>
      <c r="N88" s="542">
        <v>-0.19999999999999996</v>
      </c>
      <c r="O88" s="565"/>
      <c r="P88" s="542">
        <v>0.29999999999999982</v>
      </c>
      <c r="Q88" s="565"/>
      <c r="R88" s="542">
        <v>-9.9999999999999867E-2</v>
      </c>
      <c r="S88" s="565"/>
      <c r="T88" s="542">
        <v>-0.10000000000000009</v>
      </c>
      <c r="U88" s="565"/>
      <c r="V88" s="542">
        <v>0.10000000000000009</v>
      </c>
      <c r="W88" s="565"/>
      <c r="X88" s="542">
        <f>$AC88-SUM($D88:V88)</f>
        <v>0</v>
      </c>
      <c r="Y88" s="565"/>
      <c r="Z88" s="542"/>
      <c r="AA88" s="299"/>
      <c r="AB88" s="535"/>
      <c r="AC88" s="542">
        <v>1.8</v>
      </c>
      <c r="AD88" s="274"/>
      <c r="AE88" s="535" t="s">
        <v>103</v>
      </c>
      <c r="AF88" s="542">
        <v>1.3</v>
      </c>
      <c r="AG88" s="297"/>
      <c r="AH88" s="723"/>
      <c r="AI88" s="274">
        <f t="shared" ref="AI88" si="15">ROUND(SUM(+AC88-AF88),1)</f>
        <v>0.5</v>
      </c>
      <c r="AJ88" s="274"/>
      <c r="AK88" s="553">
        <f>ROUND(IF(AF88=0,1,AI88/ABS(AF88)),3)</f>
        <v>0.38500000000000001</v>
      </c>
      <c r="AL88" s="1884"/>
      <c r="AM88" s="1611"/>
    </row>
    <row r="89" spans="1:39" ht="15" customHeight="1">
      <c r="A89" s="35"/>
      <c r="B89" s="360" t="s">
        <v>425</v>
      </c>
      <c r="C89" s="360"/>
      <c r="D89" s="542">
        <v>0</v>
      </c>
      <c r="E89" s="523"/>
      <c r="F89" s="542">
        <v>0</v>
      </c>
      <c r="G89" s="523"/>
      <c r="H89" s="542">
        <v>0</v>
      </c>
      <c r="I89" s="274"/>
      <c r="J89" s="542">
        <v>0</v>
      </c>
      <c r="K89" s="565"/>
      <c r="L89" s="542">
        <v>0</v>
      </c>
      <c r="M89" s="565"/>
      <c r="N89" s="542">
        <v>0</v>
      </c>
      <c r="O89" s="565"/>
      <c r="P89" s="542">
        <v>0</v>
      </c>
      <c r="Q89" s="565"/>
      <c r="R89" s="542">
        <v>0</v>
      </c>
      <c r="S89" s="565"/>
      <c r="T89" s="542">
        <v>0</v>
      </c>
      <c r="U89" s="565"/>
      <c r="V89" s="542">
        <v>0</v>
      </c>
      <c r="W89" s="565"/>
      <c r="X89" s="542">
        <f>$AC89-SUM($D89:V89)</f>
        <v>0</v>
      </c>
      <c r="Y89" s="565"/>
      <c r="Z89" s="542"/>
      <c r="AA89" s="299"/>
      <c r="AB89" s="535"/>
      <c r="AC89" s="542">
        <v>0</v>
      </c>
      <c r="AD89" s="274"/>
      <c r="AE89" s="535" t="s">
        <v>103</v>
      </c>
      <c r="AF89" s="542">
        <v>0.5</v>
      </c>
      <c r="AG89" s="297"/>
      <c r="AH89" s="723"/>
      <c r="AI89" s="274">
        <f t="shared" si="13"/>
        <v>-0.5</v>
      </c>
      <c r="AJ89" s="274"/>
      <c r="AK89" s="553">
        <f>ROUND(IF(AF89=0,0,AI89/ABS(AF89)),3)</f>
        <v>-1</v>
      </c>
      <c r="AL89" s="1884"/>
      <c r="AM89" s="1611"/>
    </row>
    <row r="90" spans="1:39" ht="15" customHeight="1">
      <c r="A90" s="35"/>
      <c r="B90" s="360" t="s">
        <v>426</v>
      </c>
      <c r="C90" s="360"/>
      <c r="D90" s="542">
        <v>0</v>
      </c>
      <c r="E90" s="523"/>
      <c r="F90" s="542">
        <v>14.9</v>
      </c>
      <c r="G90" s="523"/>
      <c r="H90" s="542">
        <v>6.6</v>
      </c>
      <c r="I90" s="274"/>
      <c r="J90" s="542">
        <v>6.3999999999999986</v>
      </c>
      <c r="K90" s="565"/>
      <c r="L90" s="542">
        <v>6.4</v>
      </c>
      <c r="M90" s="565"/>
      <c r="N90" s="542">
        <v>5.4000000000000039</v>
      </c>
      <c r="O90" s="565"/>
      <c r="P90" s="542">
        <v>11.099999999999994</v>
      </c>
      <c r="Q90" s="565"/>
      <c r="R90" s="542">
        <v>6.9000000000000057</v>
      </c>
      <c r="S90" s="565"/>
      <c r="T90" s="542">
        <v>6.5999999999999943</v>
      </c>
      <c r="U90" s="565"/>
      <c r="V90" s="542">
        <v>6</v>
      </c>
      <c r="W90" s="565"/>
      <c r="X90" s="542">
        <f>$AC90-SUM($D90:V90)</f>
        <v>6.4000000000000057</v>
      </c>
      <c r="Y90" s="565"/>
      <c r="Z90" s="542"/>
      <c r="AA90" s="299"/>
      <c r="AB90" s="535"/>
      <c r="AC90" s="542">
        <v>76.7</v>
      </c>
      <c r="AD90" s="274"/>
      <c r="AE90" s="535" t="s">
        <v>103</v>
      </c>
      <c r="AF90" s="542">
        <v>73</v>
      </c>
      <c r="AG90" s="297"/>
      <c r="AH90" s="723"/>
      <c r="AI90" s="274">
        <f t="shared" si="13"/>
        <v>3.7</v>
      </c>
      <c r="AJ90" s="274"/>
      <c r="AK90" s="553">
        <f>ROUND(IF(AF90=0,0,AI90/ABS(AF90)),3)</f>
        <v>5.0999999999999997E-2</v>
      </c>
      <c r="AL90" s="1884"/>
      <c r="AM90" s="1611"/>
    </row>
    <row r="91" spans="1:39" ht="15" customHeight="1">
      <c r="A91" s="35"/>
      <c r="B91" s="360" t="s">
        <v>427</v>
      </c>
      <c r="C91" s="360"/>
      <c r="D91" s="542">
        <v>36.6</v>
      </c>
      <c r="E91" s="523"/>
      <c r="F91" s="542">
        <v>3.6000000000000014</v>
      </c>
      <c r="G91" s="523"/>
      <c r="H91" s="542">
        <v>5.2999999999999972</v>
      </c>
      <c r="I91" s="274"/>
      <c r="J91" s="542">
        <v>-72.999999999999986</v>
      </c>
      <c r="K91" s="565"/>
      <c r="L91" s="542">
        <v>63.599999999999987</v>
      </c>
      <c r="M91" s="565"/>
      <c r="N91" s="542">
        <v>8.0000000000000071</v>
      </c>
      <c r="O91" s="565"/>
      <c r="P91" s="542">
        <v>7.4999999999999929</v>
      </c>
      <c r="Q91" s="565"/>
      <c r="R91" s="542">
        <v>-76.8</v>
      </c>
      <c r="S91" s="565"/>
      <c r="T91" s="542">
        <v>-8.3000000000000043</v>
      </c>
      <c r="U91" s="565"/>
      <c r="V91" s="542">
        <v>51.8</v>
      </c>
      <c r="W91" s="565"/>
      <c r="X91" s="542">
        <f>$AC91-SUM($D91:V91)</f>
        <v>6.2000000000000028</v>
      </c>
      <c r="Y91" s="565"/>
      <c r="Z91" s="542"/>
      <c r="AA91" s="299"/>
      <c r="AB91" s="535"/>
      <c r="AC91" s="542">
        <v>24.5</v>
      </c>
      <c r="AD91" s="274"/>
      <c r="AE91" s="535" t="s">
        <v>103</v>
      </c>
      <c r="AF91" s="542">
        <v>-29.7</v>
      </c>
      <c r="AG91" s="297"/>
      <c r="AH91" s="723"/>
      <c r="AI91" s="274">
        <f>ROUND(SUM(+AC91-AF91),1)</f>
        <v>54.2</v>
      </c>
      <c r="AJ91" s="274"/>
      <c r="AK91" s="553">
        <f>ROUND(IF(AF91=0,1,AI91/ABS(AF91)),3)</f>
        <v>1.825</v>
      </c>
      <c r="AL91" s="1884"/>
      <c r="AM91" s="1611"/>
    </row>
    <row r="92" spans="1:39" ht="15" customHeight="1">
      <c r="A92" s="35"/>
      <c r="B92" s="360" t="s">
        <v>428</v>
      </c>
      <c r="C92" s="360"/>
      <c r="D92" s="542">
        <v>-0.2</v>
      </c>
      <c r="E92" s="523"/>
      <c r="F92" s="542">
        <v>0</v>
      </c>
      <c r="G92" s="523"/>
      <c r="H92" s="542">
        <v>1.7</v>
      </c>
      <c r="I92" s="274"/>
      <c r="J92" s="542">
        <v>-0.10000000000000009</v>
      </c>
      <c r="K92" s="565"/>
      <c r="L92" s="542">
        <v>0</v>
      </c>
      <c r="M92" s="565"/>
      <c r="N92" s="542">
        <v>2.4</v>
      </c>
      <c r="O92" s="565"/>
      <c r="P92" s="542">
        <v>-0.79999999999999982</v>
      </c>
      <c r="Q92" s="565"/>
      <c r="R92" s="542">
        <v>0</v>
      </c>
      <c r="S92" s="565"/>
      <c r="T92" s="542">
        <v>2.2999999999999998</v>
      </c>
      <c r="U92" s="565"/>
      <c r="V92" s="542">
        <v>0.29999999999999982</v>
      </c>
      <c r="W92" s="565"/>
      <c r="X92" s="542">
        <f>$AC92-SUM($D92:V92)</f>
        <v>0</v>
      </c>
      <c r="Y92" s="565"/>
      <c r="Z92" s="542"/>
      <c r="AA92" s="299"/>
      <c r="AB92" s="535"/>
      <c r="AC92" s="542">
        <v>5.6</v>
      </c>
      <c r="AD92" s="274"/>
      <c r="AE92" s="535" t="s">
        <v>103</v>
      </c>
      <c r="AF92" s="542">
        <v>11.4</v>
      </c>
      <c r="AG92" s="297"/>
      <c r="AH92" s="723"/>
      <c r="AI92" s="274">
        <f t="shared" si="13"/>
        <v>-5.8</v>
      </c>
      <c r="AJ92" s="274"/>
      <c r="AK92" s="553">
        <f>ROUND(IF(AF92=0,0,AI92/ABS(AF92)),3)</f>
        <v>-0.50900000000000001</v>
      </c>
      <c r="AL92" s="1884"/>
      <c r="AM92" s="1611"/>
    </row>
    <row r="93" spans="1:39" ht="15" customHeight="1">
      <c r="A93" s="35"/>
      <c r="B93" s="360" t="s">
        <v>429</v>
      </c>
      <c r="C93" s="360"/>
      <c r="D93" s="542">
        <v>8.3000000000000007</v>
      </c>
      <c r="E93" s="523"/>
      <c r="F93" s="542">
        <v>0.29999999999999893</v>
      </c>
      <c r="G93" s="523"/>
      <c r="H93" s="542">
        <v>9.9999999999999645E-2</v>
      </c>
      <c r="I93" s="274"/>
      <c r="J93" s="542">
        <v>0</v>
      </c>
      <c r="K93" s="565"/>
      <c r="L93" s="542">
        <v>0.10000000000000142</v>
      </c>
      <c r="M93" s="565"/>
      <c r="N93" s="542">
        <v>9.9999999999999645E-2</v>
      </c>
      <c r="O93" s="565"/>
      <c r="P93" s="542">
        <v>0.19999999999999929</v>
      </c>
      <c r="Q93" s="565"/>
      <c r="R93" s="542">
        <v>0</v>
      </c>
      <c r="S93" s="565"/>
      <c r="T93" s="542">
        <v>0</v>
      </c>
      <c r="U93" s="565"/>
      <c r="V93" s="542">
        <v>0</v>
      </c>
      <c r="W93" s="565"/>
      <c r="X93" s="542">
        <f>$AC93-SUM($D93:V93)</f>
        <v>9.9999999999999645E-2</v>
      </c>
      <c r="Y93" s="565"/>
      <c r="Z93" s="542"/>
      <c r="AA93" s="299"/>
      <c r="AB93" s="535"/>
      <c r="AC93" s="542">
        <v>9.1999999999999993</v>
      </c>
      <c r="AD93" s="274"/>
      <c r="AE93" s="535" t="s">
        <v>103</v>
      </c>
      <c r="AF93" s="542">
        <v>0.6</v>
      </c>
      <c r="AG93" s="297"/>
      <c r="AH93" s="723"/>
      <c r="AI93" s="274">
        <f t="shared" si="13"/>
        <v>8.6</v>
      </c>
      <c r="AJ93" s="274"/>
      <c r="AK93" s="553">
        <f>ROUND(IF(AF93=0,1,AI93/ABS(AF93)),3)</f>
        <v>14.333</v>
      </c>
      <c r="AL93" s="1884"/>
      <c r="AM93" s="1611"/>
    </row>
    <row r="94" spans="1:39" ht="15" customHeight="1">
      <c r="A94" s="35"/>
      <c r="B94" s="360" t="s">
        <v>430</v>
      </c>
      <c r="C94" s="360"/>
      <c r="D94" s="542">
        <v>0</v>
      </c>
      <c r="E94" s="523"/>
      <c r="F94" s="542">
        <v>0</v>
      </c>
      <c r="G94" s="523"/>
      <c r="H94" s="542">
        <v>0</v>
      </c>
      <c r="I94" s="274"/>
      <c r="J94" s="542">
        <v>0</v>
      </c>
      <c r="K94" s="565"/>
      <c r="L94" s="542">
        <v>0</v>
      </c>
      <c r="M94" s="565"/>
      <c r="N94" s="542">
        <v>0</v>
      </c>
      <c r="O94" s="565"/>
      <c r="P94" s="542">
        <v>0</v>
      </c>
      <c r="Q94" s="565"/>
      <c r="R94" s="542">
        <v>0</v>
      </c>
      <c r="S94" s="565"/>
      <c r="T94" s="542">
        <v>0</v>
      </c>
      <c r="U94" s="565"/>
      <c r="V94" s="542">
        <v>0</v>
      </c>
      <c r="W94" s="565"/>
      <c r="X94" s="542">
        <f>$AC94-SUM($D94:V94)</f>
        <v>0</v>
      </c>
      <c r="Y94" s="565"/>
      <c r="Z94" s="542"/>
      <c r="AA94" s="299"/>
      <c r="AB94" s="535"/>
      <c r="AC94" s="542">
        <v>0</v>
      </c>
      <c r="AD94" s="274"/>
      <c r="AE94" s="535" t="s">
        <v>103</v>
      </c>
      <c r="AF94" s="542">
        <v>0</v>
      </c>
      <c r="AG94" s="297"/>
      <c r="AH94" s="723"/>
      <c r="AI94" s="274">
        <f t="shared" si="13"/>
        <v>0</v>
      </c>
      <c r="AJ94" s="274"/>
      <c r="AK94" s="276">
        <f>ROUND(IF(AF94=0,0,AI94/ABS(AF94)),3)</f>
        <v>0</v>
      </c>
      <c r="AL94" s="1884"/>
      <c r="AM94" s="1611"/>
    </row>
    <row r="95" spans="1:39" ht="15" customHeight="1">
      <c r="A95" s="35"/>
      <c r="B95" s="360" t="s">
        <v>431</v>
      </c>
      <c r="C95" s="360"/>
      <c r="D95" s="542">
        <v>32</v>
      </c>
      <c r="E95" s="523"/>
      <c r="F95" s="542">
        <v>43.2</v>
      </c>
      <c r="G95" s="523"/>
      <c r="H95" s="542">
        <v>-2.2999999999999972</v>
      </c>
      <c r="I95" s="274"/>
      <c r="J95" s="542">
        <v>43.099999999999994</v>
      </c>
      <c r="K95" s="565"/>
      <c r="L95" s="542">
        <v>15</v>
      </c>
      <c r="M95" s="565"/>
      <c r="N95" s="542">
        <v>3.3000000000000114</v>
      </c>
      <c r="O95" s="565"/>
      <c r="P95" s="542">
        <v>8.9999999999999716</v>
      </c>
      <c r="Q95" s="565"/>
      <c r="R95" s="542">
        <v>6.0000000000000284</v>
      </c>
      <c r="S95" s="565"/>
      <c r="T95" s="542">
        <v>79.799999999999983</v>
      </c>
      <c r="U95" s="565"/>
      <c r="V95" s="542">
        <v>-114.89999999999999</v>
      </c>
      <c r="W95" s="565"/>
      <c r="X95" s="542">
        <f>$AC95-SUM($D95:V95)</f>
        <v>8.2999999999999972</v>
      </c>
      <c r="Y95" s="565"/>
      <c r="Z95" s="542"/>
      <c r="AA95" s="299"/>
      <c r="AB95" s="535"/>
      <c r="AC95" s="542">
        <v>122.5</v>
      </c>
      <c r="AD95" s="274"/>
      <c r="AE95" s="535" t="s">
        <v>103</v>
      </c>
      <c r="AF95" s="542">
        <v>115.7</v>
      </c>
      <c r="AG95" s="274"/>
      <c r="AH95" s="723"/>
      <c r="AI95" s="274">
        <f t="shared" si="13"/>
        <v>6.8</v>
      </c>
      <c r="AJ95" s="274"/>
      <c r="AK95" s="553">
        <f>ROUND(IF(AF95=0,0,AI95/ABS(AF95)),3)</f>
        <v>5.8999999999999997E-2</v>
      </c>
      <c r="AL95" s="1884"/>
      <c r="AM95" s="1611"/>
    </row>
    <row r="96" spans="1:39" ht="15" customHeight="1">
      <c r="A96" s="35"/>
      <c r="B96" s="360" t="s">
        <v>432</v>
      </c>
      <c r="C96" s="360"/>
      <c r="D96" s="542">
        <v>0</v>
      </c>
      <c r="E96" s="523"/>
      <c r="F96" s="542">
        <v>0</v>
      </c>
      <c r="G96" s="523"/>
      <c r="H96" s="542">
        <v>0</v>
      </c>
      <c r="I96" s="274"/>
      <c r="J96" s="542">
        <v>0.1</v>
      </c>
      <c r="K96" s="565"/>
      <c r="L96" s="542">
        <v>0.6</v>
      </c>
      <c r="M96" s="565"/>
      <c r="N96" s="542">
        <v>1.1999999999999997</v>
      </c>
      <c r="O96" s="565"/>
      <c r="P96" s="542">
        <v>0</v>
      </c>
      <c r="Q96" s="565"/>
      <c r="R96" s="542">
        <v>0.2000000000000004</v>
      </c>
      <c r="S96" s="565"/>
      <c r="T96" s="542">
        <v>0</v>
      </c>
      <c r="U96" s="565"/>
      <c r="V96" s="542">
        <v>0</v>
      </c>
      <c r="W96" s="565"/>
      <c r="X96" s="542">
        <f>$AC96-SUM($D96:V96)</f>
        <v>0</v>
      </c>
      <c r="Y96" s="565"/>
      <c r="Z96" s="542"/>
      <c r="AA96" s="299"/>
      <c r="AB96" s="535"/>
      <c r="AC96" s="542">
        <v>2.1</v>
      </c>
      <c r="AD96" s="274"/>
      <c r="AE96" s="535" t="s">
        <v>103</v>
      </c>
      <c r="AF96" s="542">
        <v>0</v>
      </c>
      <c r="AG96" s="274"/>
      <c r="AH96" s="723"/>
      <c r="AI96" s="274">
        <f t="shared" si="13"/>
        <v>2.1</v>
      </c>
      <c r="AJ96" s="274"/>
      <c r="AK96" s="1052">
        <f>ROUND(IF(AF96=0,1,AI96/ABS(AF96)),3)</f>
        <v>1</v>
      </c>
      <c r="AL96" s="1884"/>
      <c r="AM96" s="1611"/>
    </row>
    <row r="97" spans="1:41" s="63" customFormat="1" ht="15" customHeight="1">
      <c r="A97" s="428"/>
      <c r="B97" s="88" t="s">
        <v>434</v>
      </c>
      <c r="C97" s="61"/>
      <c r="D97" s="687">
        <f>ROUND(SUM(D60:D96),1)</f>
        <v>451.3</v>
      </c>
      <c r="E97" s="429"/>
      <c r="F97" s="687">
        <f>ROUND(SUM(F60:F96),1)</f>
        <v>385.9</v>
      </c>
      <c r="G97" s="429"/>
      <c r="H97" s="687">
        <f>ROUND(SUM(H60:H96),1)</f>
        <v>379.8</v>
      </c>
      <c r="I97" s="13"/>
      <c r="J97" s="687">
        <f>ROUND(SUM(J60:J96),1)</f>
        <v>285.7</v>
      </c>
      <c r="K97" s="13"/>
      <c r="L97" s="687">
        <f>ROUND(SUM(L60:L96),1)</f>
        <v>436.9</v>
      </c>
      <c r="M97" s="13"/>
      <c r="N97" s="687">
        <f>ROUND(SUM(N60:N96),1)</f>
        <v>479.1</v>
      </c>
      <c r="O97" s="13"/>
      <c r="P97" s="687">
        <f>ROUND(SUM(P60:P96),1)</f>
        <v>407.7</v>
      </c>
      <c r="Q97" s="13"/>
      <c r="R97" s="687">
        <f>ROUND(SUM(R60:R96),1)</f>
        <v>337.5</v>
      </c>
      <c r="S97" s="13"/>
      <c r="T97" s="687">
        <f>ROUND(SUM(T60:T96),1)</f>
        <v>410.2</v>
      </c>
      <c r="U97" s="13"/>
      <c r="V97" s="687">
        <f>ROUND(SUM(V60:V96),1)</f>
        <v>322</v>
      </c>
      <c r="W97" s="13"/>
      <c r="X97" s="687">
        <f>ROUND(SUM(X60:X96),1)</f>
        <v>297.8</v>
      </c>
      <c r="Y97" s="13"/>
      <c r="Z97" s="687">
        <f>ROUND(SUM(Z60:Z96),1)</f>
        <v>0</v>
      </c>
      <c r="AA97" s="40"/>
      <c r="AB97" s="685"/>
      <c r="AC97" s="687">
        <f>ROUND(SUM(AC60:AC96),1)</f>
        <v>4193.8999999999996</v>
      </c>
      <c r="AD97" s="13"/>
      <c r="AE97" s="683" t="s">
        <v>103</v>
      </c>
      <c r="AF97" s="687">
        <f>ROUND(SUM(AF60:AF96),1)</f>
        <v>3967.2</v>
      </c>
      <c r="AG97" s="13"/>
      <c r="AH97" s="721"/>
      <c r="AI97" s="687">
        <f>ROUND(SUM(AI60:AI96),1)</f>
        <v>226.7</v>
      </c>
      <c r="AJ97" s="13"/>
      <c r="AK97" s="946">
        <f>ROUND(SUM(+AI97/AF97),3)</f>
        <v>5.7000000000000002E-2</v>
      </c>
      <c r="AL97" s="1884"/>
      <c r="AM97" s="1611"/>
      <c r="AN97" s="60"/>
      <c r="AO97" s="60"/>
    </row>
    <row r="98" spans="1:41" s="63" customFormat="1" ht="8.25" customHeight="1">
      <c r="A98" s="428"/>
      <c r="B98" s="3"/>
      <c r="C98" s="61"/>
      <c r="D98" s="13"/>
      <c r="E98" s="429"/>
      <c r="F98" s="13"/>
      <c r="G98" s="429"/>
      <c r="H98" s="13"/>
      <c r="I98" s="13"/>
      <c r="J98" s="13"/>
      <c r="K98" s="13"/>
      <c r="L98" s="13"/>
      <c r="M98" s="13"/>
      <c r="N98" s="13"/>
      <c r="O98" s="13"/>
      <c r="P98" s="13"/>
      <c r="Q98" s="13"/>
      <c r="R98" s="13"/>
      <c r="S98" s="13"/>
      <c r="T98" s="13"/>
      <c r="U98" s="13"/>
      <c r="V98" s="13"/>
      <c r="W98" s="13"/>
      <c r="X98" s="13"/>
      <c r="Y98" s="13"/>
      <c r="Z98" s="13"/>
      <c r="AA98" s="40"/>
      <c r="AB98" s="685"/>
      <c r="AC98" s="13"/>
      <c r="AD98" s="13"/>
      <c r="AE98" s="683"/>
      <c r="AF98" s="13"/>
      <c r="AG98" s="13"/>
      <c r="AH98" s="721"/>
      <c r="AI98" s="13"/>
      <c r="AJ98" s="13"/>
      <c r="AK98" s="78"/>
      <c r="AL98" s="1884"/>
      <c r="AM98" s="1611"/>
      <c r="AN98" s="60"/>
      <c r="AO98" s="60"/>
    </row>
    <row r="99" spans="1:41" ht="15" customHeight="1">
      <c r="A99" s="35"/>
      <c r="B99" s="301" t="s">
        <v>458</v>
      </c>
      <c r="C99" s="374"/>
      <c r="D99" s="542">
        <v>0</v>
      </c>
      <c r="E99" s="274"/>
      <c r="F99" s="542">
        <v>0</v>
      </c>
      <c r="G99" s="274"/>
      <c r="H99" s="542">
        <v>0</v>
      </c>
      <c r="I99" s="274"/>
      <c r="J99" s="542">
        <v>0.1</v>
      </c>
      <c r="K99" s="565"/>
      <c r="L99" s="542">
        <v>0</v>
      </c>
      <c r="M99" s="565"/>
      <c r="N99" s="542">
        <v>0.9</v>
      </c>
      <c r="O99" s="565"/>
      <c r="P99" s="542">
        <v>0</v>
      </c>
      <c r="Q99" s="565"/>
      <c r="R99" s="542">
        <v>3.7</v>
      </c>
      <c r="S99" s="565"/>
      <c r="T99" s="542">
        <v>3645</v>
      </c>
      <c r="U99" s="565"/>
      <c r="V99" s="542">
        <v>0</v>
      </c>
      <c r="W99" s="565"/>
      <c r="X99" s="542">
        <f>$AC99-SUM($D99:V99)</f>
        <v>0.20000000000027285</v>
      </c>
      <c r="Y99" s="565"/>
      <c r="Z99" s="542"/>
      <c r="AA99" s="299"/>
      <c r="AB99" s="535"/>
      <c r="AC99" s="542">
        <v>3649.9</v>
      </c>
      <c r="AD99" s="274"/>
      <c r="AE99" s="535" t="s">
        <v>103</v>
      </c>
      <c r="AF99" s="542">
        <v>0.1</v>
      </c>
      <c r="AG99" s="274"/>
      <c r="AH99" s="720"/>
      <c r="AI99" s="393">
        <f>ROUND(SUM(+AC99-AF99),1)</f>
        <v>3649.8</v>
      </c>
      <c r="AJ99" s="274"/>
      <c r="AK99" s="1053">
        <f>ROUND(IF(AF99=0,1,AI99/ABS(AF99)),3)</f>
        <v>36498</v>
      </c>
      <c r="AL99" s="1884"/>
      <c r="AM99" s="1611"/>
    </row>
    <row r="100" spans="1:41" ht="4.4000000000000004" customHeight="1">
      <c r="A100" s="35"/>
      <c r="B100" s="301"/>
      <c r="C100" s="374"/>
      <c r="D100" s="629"/>
      <c r="E100" s="274"/>
      <c r="F100" s="629"/>
      <c r="G100" s="274"/>
      <c r="H100" s="629"/>
      <c r="I100" s="274"/>
      <c r="J100" s="629"/>
      <c r="K100" s="274"/>
      <c r="L100" s="629"/>
      <c r="M100" s="274"/>
      <c r="N100" s="629"/>
      <c r="O100" s="274"/>
      <c r="P100" s="1054"/>
      <c r="Q100" s="274"/>
      <c r="R100" s="629"/>
      <c r="S100" s="274"/>
      <c r="T100" s="629"/>
      <c r="U100" s="274"/>
      <c r="V100" s="629"/>
      <c r="W100" s="274"/>
      <c r="X100" s="629"/>
      <c r="Y100" s="274"/>
      <c r="Z100" s="629"/>
      <c r="AA100" s="374"/>
      <c r="AB100" s="1051"/>
      <c r="AC100" s="629"/>
      <c r="AD100" s="274"/>
      <c r="AE100" s="535" t="s">
        <v>103</v>
      </c>
      <c r="AF100" s="629"/>
      <c r="AG100" s="274"/>
      <c r="AH100" s="720"/>
      <c r="AI100" s="274"/>
      <c r="AJ100" s="274"/>
      <c r="AK100" s="293"/>
      <c r="AL100" s="1884"/>
      <c r="AM100" s="1611"/>
    </row>
    <row r="101" spans="1:41" ht="15" customHeight="1">
      <c r="A101" s="35"/>
      <c r="B101" s="3" t="s">
        <v>435</v>
      </c>
      <c r="C101" s="374"/>
      <c r="D101" s="367">
        <f>ROUND(SUM(D99+D97+D56),1)</f>
        <v>6265.2</v>
      </c>
      <c r="E101" s="13"/>
      <c r="F101" s="367">
        <f>ROUND(SUM(F99+F97+F56),1)</f>
        <v>3409.1</v>
      </c>
      <c r="G101" s="13"/>
      <c r="H101" s="367">
        <f>ROUND(SUM(H99+H97+H56),1)</f>
        <v>7277.5</v>
      </c>
      <c r="I101" s="13"/>
      <c r="J101" s="367">
        <f>ROUND(SUM(J99+J97+J56),1)</f>
        <v>3258.7</v>
      </c>
      <c r="K101" s="13"/>
      <c r="L101" s="367">
        <f>ROUND(SUM(L99+L97+L56),1)</f>
        <v>3163.9</v>
      </c>
      <c r="M101" s="13"/>
      <c r="N101" s="367">
        <f>ROUND(SUM(N99+N97+N56),1)</f>
        <v>7403.7</v>
      </c>
      <c r="O101" s="13"/>
      <c r="P101" s="367">
        <f>ROUND(SUM(P99+P97+P56),1)</f>
        <v>2191.5</v>
      </c>
      <c r="Q101" s="13"/>
      <c r="R101" s="367">
        <f>ROUND(SUM(R99+R97+R56),1)</f>
        <v>3100.7</v>
      </c>
      <c r="S101" s="13"/>
      <c r="T101" s="367">
        <f>ROUND(SUM(T99+T97+T56),1)</f>
        <v>12381.6</v>
      </c>
      <c r="U101" s="13"/>
      <c r="V101" s="367">
        <f>ROUND(SUM(V99+V97+V56),1)</f>
        <v>4934.8</v>
      </c>
      <c r="W101" s="13"/>
      <c r="X101" s="367">
        <f>ROUND(SUM(X99+X97+X56),1)</f>
        <v>4312.7</v>
      </c>
      <c r="Y101" s="13"/>
      <c r="Z101" s="367">
        <f>ROUND(SUM(Z99+Z97+Z56),1)</f>
        <v>0</v>
      </c>
      <c r="AA101" s="40"/>
      <c r="AB101" s="685"/>
      <c r="AC101" s="367">
        <f>ROUND(SUM(AC99+AC97+AC56),1)</f>
        <v>57699.4</v>
      </c>
      <c r="AD101" s="13"/>
      <c r="AE101" s="683"/>
      <c r="AF101" s="367">
        <f>ROUND(SUM(AF99+AF97+AF56),1)</f>
        <v>50280.5</v>
      </c>
      <c r="AG101" s="13"/>
      <c r="AH101" s="721"/>
      <c r="AI101" s="367">
        <f>ROUND(SUM(AI99+AI97+AI56),1)</f>
        <v>7418.9</v>
      </c>
      <c r="AJ101" s="13"/>
      <c r="AK101" s="378">
        <f>ROUND(SUM(+AI101/AF101),3)</f>
        <v>0.14799999999999999</v>
      </c>
      <c r="AL101" s="1884"/>
      <c r="AM101" s="1611"/>
    </row>
    <row r="102" spans="1:41" ht="15" customHeight="1">
      <c r="A102" s="35"/>
      <c r="B102" s="301"/>
      <c r="C102" s="374"/>
      <c r="D102" s="274"/>
      <c r="E102" s="274"/>
      <c r="F102" s="274"/>
      <c r="G102" s="274"/>
      <c r="H102" s="274"/>
      <c r="I102" s="274"/>
      <c r="J102" s="274"/>
      <c r="K102" s="274"/>
      <c r="L102" s="629"/>
      <c r="M102" s="274"/>
      <c r="N102" s="629"/>
      <c r="O102" s="274"/>
      <c r="P102" s="274"/>
      <c r="Q102" s="274"/>
      <c r="R102" s="274"/>
      <c r="S102" s="274"/>
      <c r="T102" s="274"/>
      <c r="U102" s="274"/>
      <c r="V102" s="274"/>
      <c r="W102" s="274"/>
      <c r="X102" s="274"/>
      <c r="Y102" s="274"/>
      <c r="Z102" s="274"/>
      <c r="AA102" s="278"/>
      <c r="AB102" s="1051"/>
      <c r="AC102" s="274"/>
      <c r="AD102" s="274"/>
      <c r="AE102" s="535"/>
      <c r="AF102" s="274"/>
      <c r="AG102" s="274"/>
      <c r="AH102" s="720"/>
      <c r="AI102" s="274"/>
      <c r="AJ102" s="274"/>
      <c r="AK102" s="293"/>
      <c r="AL102" s="1884"/>
      <c r="AM102" s="1611"/>
    </row>
    <row r="103" spans="1:41" ht="15" customHeight="1">
      <c r="A103" s="35"/>
      <c r="B103" s="3" t="s">
        <v>122</v>
      </c>
      <c r="C103" s="3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8"/>
      <c r="AB103" s="1051"/>
      <c r="AC103" s="274"/>
      <c r="AD103" s="274"/>
      <c r="AE103" s="535"/>
      <c r="AF103" s="274"/>
      <c r="AG103" s="274"/>
      <c r="AH103" s="720"/>
      <c r="AI103" s="274"/>
      <c r="AJ103" s="274"/>
      <c r="AK103" s="293"/>
      <c r="AL103" s="1884"/>
      <c r="AM103" s="1611"/>
    </row>
    <row r="104" spans="1:41" ht="15" customHeight="1">
      <c r="A104" s="35"/>
      <c r="B104" s="301" t="s">
        <v>459</v>
      </c>
      <c r="C104" s="3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523"/>
      <c r="AA104" s="278"/>
      <c r="AB104" s="1051"/>
      <c r="AC104" s="298"/>
      <c r="AD104" s="274"/>
      <c r="AE104" s="535"/>
      <c r="AF104" s="298"/>
      <c r="AG104" s="724"/>
      <c r="AH104" s="720"/>
      <c r="AI104" s="274"/>
      <c r="AJ104" s="274"/>
      <c r="AK104" s="293"/>
      <c r="AL104" s="1884"/>
      <c r="AM104" s="1611"/>
    </row>
    <row r="105" spans="1:41" ht="15" customHeight="1">
      <c r="A105" s="35"/>
      <c r="B105" s="395" t="s">
        <v>124</v>
      </c>
      <c r="C105" s="374"/>
      <c r="D105" s="542">
        <v>1860.6</v>
      </c>
      <c r="E105" s="523"/>
      <c r="F105" s="542">
        <v>5333</v>
      </c>
      <c r="G105" s="523"/>
      <c r="H105" s="542">
        <v>2653.7999999999993</v>
      </c>
      <c r="I105" s="274"/>
      <c r="J105" s="542">
        <v>1226.5</v>
      </c>
      <c r="K105" s="565"/>
      <c r="L105" s="542">
        <v>865.89999999999964</v>
      </c>
      <c r="M105" s="565"/>
      <c r="N105" s="542">
        <v>2009</v>
      </c>
      <c r="O105" s="565"/>
      <c r="P105" s="542">
        <v>1647.8000000000011</v>
      </c>
      <c r="Q105" s="565"/>
      <c r="R105" s="542">
        <v>2046.1000000000004</v>
      </c>
      <c r="S105" s="565"/>
      <c r="T105" s="542">
        <v>2743.5999999999985</v>
      </c>
      <c r="U105" s="565"/>
      <c r="V105" s="542">
        <v>2130.7999999999993</v>
      </c>
      <c r="W105" s="565"/>
      <c r="X105" s="542">
        <f>$AC105-SUM($D105:V105)</f>
        <v>1681.2000000000007</v>
      </c>
      <c r="Y105" s="565"/>
      <c r="Z105" s="542"/>
      <c r="AA105" s="299"/>
      <c r="AB105" s="535"/>
      <c r="AC105" s="542">
        <v>24198.3</v>
      </c>
      <c r="AD105" s="274"/>
      <c r="AE105" s="535" t="s">
        <v>103</v>
      </c>
      <c r="AF105" s="542">
        <v>23081</v>
      </c>
      <c r="AG105" s="724"/>
      <c r="AH105" s="720"/>
      <c r="AI105" s="274">
        <f>ROUND(SUM(+AC105-AF105),1)</f>
        <v>1117.3</v>
      </c>
      <c r="AJ105" s="274"/>
      <c r="AK105" s="276">
        <f>ROUND(IF(AF105=0,0,AI105/ABS(AF105)),3)</f>
        <v>4.8000000000000001E-2</v>
      </c>
      <c r="AL105" s="1884"/>
      <c r="AM105" s="1611"/>
    </row>
    <row r="106" spans="1:41" ht="15" customHeight="1">
      <c r="A106" s="35"/>
      <c r="B106" s="395" t="s">
        <v>125</v>
      </c>
      <c r="C106" s="374"/>
      <c r="D106" s="542">
        <v>0.1</v>
      </c>
      <c r="E106" s="523"/>
      <c r="F106" s="542">
        <v>0.30000000000000004</v>
      </c>
      <c r="G106" s="523"/>
      <c r="H106" s="542">
        <v>9.9999999999999978E-2</v>
      </c>
      <c r="I106" s="274"/>
      <c r="J106" s="542">
        <v>0.4</v>
      </c>
      <c r="K106" s="565"/>
      <c r="L106" s="542">
        <v>0.39999999999999991</v>
      </c>
      <c r="M106" s="565"/>
      <c r="N106" s="542">
        <v>1.3000000000000003</v>
      </c>
      <c r="O106" s="565"/>
      <c r="P106" s="542">
        <v>0.10000000000000009</v>
      </c>
      <c r="Q106" s="565"/>
      <c r="R106" s="542">
        <v>0.79999999999999982</v>
      </c>
      <c r="S106" s="565"/>
      <c r="T106" s="542">
        <v>0.39999999999999991</v>
      </c>
      <c r="U106" s="565"/>
      <c r="V106" s="542">
        <v>0.30000000000000027</v>
      </c>
      <c r="W106" s="565"/>
      <c r="X106" s="542">
        <f>$AC106-SUM($D106:V106)</f>
        <v>0.39999999999999947</v>
      </c>
      <c r="Y106" s="565"/>
      <c r="Z106" s="542"/>
      <c r="AA106" s="299"/>
      <c r="AB106" s="535"/>
      <c r="AC106" s="542">
        <v>4.5999999999999996</v>
      </c>
      <c r="AD106" s="274"/>
      <c r="AE106" s="535" t="s">
        <v>103</v>
      </c>
      <c r="AF106" s="542">
        <v>2.4</v>
      </c>
      <c r="AG106" s="274"/>
      <c r="AH106" s="720"/>
      <c r="AI106" s="274">
        <f t="shared" ref="AI106:AI114" si="16">ROUND(SUM(+AC106-AF106),1)</f>
        <v>2.2000000000000002</v>
      </c>
      <c r="AJ106" s="274"/>
      <c r="AK106" s="553">
        <f>ROUND(IF(AF106=0,1,AI106/ABS(AF106)),3)</f>
        <v>0.91700000000000004</v>
      </c>
      <c r="AL106" s="1884"/>
      <c r="AM106" s="1611"/>
    </row>
    <row r="107" spans="1:41" ht="15" customHeight="1">
      <c r="A107" s="35"/>
      <c r="B107" s="395" t="s">
        <v>126</v>
      </c>
      <c r="C107" s="374"/>
      <c r="D107" s="542">
        <v>28.7</v>
      </c>
      <c r="E107" s="523"/>
      <c r="F107" s="542">
        <v>49.099999999999994</v>
      </c>
      <c r="G107" s="523"/>
      <c r="H107" s="542">
        <v>402.1</v>
      </c>
      <c r="I107" s="274"/>
      <c r="J107" s="542">
        <v>24</v>
      </c>
      <c r="K107" s="565"/>
      <c r="L107" s="542">
        <v>77.699999999999932</v>
      </c>
      <c r="M107" s="565"/>
      <c r="N107" s="542">
        <v>155.39999999999998</v>
      </c>
      <c r="O107" s="565"/>
      <c r="P107" s="542">
        <v>32.400000000000091</v>
      </c>
      <c r="Q107" s="565"/>
      <c r="R107" s="542">
        <v>27.600000000000023</v>
      </c>
      <c r="S107" s="565"/>
      <c r="T107" s="542">
        <v>197.10000000000002</v>
      </c>
      <c r="U107" s="565"/>
      <c r="V107" s="542">
        <v>29.899999999999977</v>
      </c>
      <c r="W107" s="565"/>
      <c r="X107" s="542">
        <f>$AC107-SUM($D107:V107)</f>
        <v>38.5</v>
      </c>
      <c r="Y107" s="565"/>
      <c r="Z107" s="542"/>
      <c r="AA107" s="299"/>
      <c r="AB107" s="535"/>
      <c r="AC107" s="542">
        <v>1062.5</v>
      </c>
      <c r="AD107" s="274"/>
      <c r="AE107" s="535" t="s">
        <v>103</v>
      </c>
      <c r="AF107" s="542">
        <v>1045.9000000000001</v>
      </c>
      <c r="AG107" s="274"/>
      <c r="AH107" s="720"/>
      <c r="AI107" s="274">
        <f t="shared" si="16"/>
        <v>16.600000000000001</v>
      </c>
      <c r="AJ107" s="274"/>
      <c r="AK107" s="276">
        <f>ROUND(IF(AF107=0,0,AI107/ABS(AF107)),3)</f>
        <v>1.6E-2</v>
      </c>
      <c r="AL107" s="1884"/>
      <c r="AM107" s="1611"/>
    </row>
    <row r="108" spans="1:41" ht="15" customHeight="1">
      <c r="A108" s="35"/>
      <c r="B108" s="395" t="s">
        <v>127</v>
      </c>
      <c r="C108" s="374"/>
      <c r="D108" s="542" t="s">
        <v>103</v>
      </c>
      <c r="E108" s="523"/>
      <c r="F108" s="523"/>
      <c r="G108" s="523"/>
      <c r="H108" s="542"/>
      <c r="I108" s="274"/>
      <c r="J108" s="542"/>
      <c r="K108" s="565"/>
      <c r="L108" s="542"/>
      <c r="M108" s="565"/>
      <c r="N108" s="542"/>
      <c r="O108" s="565"/>
      <c r="P108" s="542"/>
      <c r="Q108" s="565"/>
      <c r="R108" s="542"/>
      <c r="S108" s="565"/>
      <c r="T108" s="542"/>
      <c r="U108" s="565"/>
      <c r="V108" s="542"/>
      <c r="W108" s="565"/>
      <c r="X108" s="542"/>
      <c r="Y108" s="565"/>
      <c r="Z108" s="523"/>
      <c r="AA108" s="299"/>
      <c r="AB108" s="535"/>
      <c r="AC108" s="523"/>
      <c r="AD108" s="274"/>
      <c r="AE108" s="535" t="s">
        <v>103</v>
      </c>
      <c r="AF108" s="523"/>
      <c r="AG108" s="274"/>
      <c r="AH108" s="720"/>
      <c r="AI108" s="274" t="s">
        <v>103</v>
      </c>
      <c r="AJ108" s="274"/>
      <c r="AK108" s="293" t="s">
        <v>103</v>
      </c>
      <c r="AL108" s="1884"/>
      <c r="AM108" s="1611"/>
    </row>
    <row r="109" spans="1:41" ht="15" customHeight="1">
      <c r="A109" s="35"/>
      <c r="B109" s="1055" t="s">
        <v>128</v>
      </c>
      <c r="C109" s="374"/>
      <c r="D109" s="542">
        <v>3573.6</v>
      </c>
      <c r="E109" s="523"/>
      <c r="F109" s="542">
        <v>2569.7999999999997</v>
      </c>
      <c r="G109" s="523"/>
      <c r="H109" s="542">
        <v>1238.5</v>
      </c>
      <c r="I109" s="274"/>
      <c r="J109" s="542">
        <v>2873.8999999999996</v>
      </c>
      <c r="K109" s="565"/>
      <c r="L109" s="542">
        <v>2179.9000000000015</v>
      </c>
      <c r="M109" s="565"/>
      <c r="N109" s="542">
        <v>2800.6999999999989</v>
      </c>
      <c r="O109" s="565"/>
      <c r="P109" s="542">
        <v>3035.5000000000018</v>
      </c>
      <c r="Q109" s="565"/>
      <c r="R109" s="542">
        <v>2536</v>
      </c>
      <c r="S109" s="565"/>
      <c r="T109" s="542">
        <v>2329.8999999999978</v>
      </c>
      <c r="U109" s="565"/>
      <c r="V109" s="542">
        <v>2192.2999999999993</v>
      </c>
      <c r="W109" s="565"/>
      <c r="X109" s="542">
        <f>$AC109-SUM($D109:V109)</f>
        <v>1821.4000000000015</v>
      </c>
      <c r="Y109" s="565"/>
      <c r="Z109" s="542"/>
      <c r="AA109" s="299"/>
      <c r="AB109" s="535"/>
      <c r="AC109" s="542">
        <v>27151.5</v>
      </c>
      <c r="AD109" s="274"/>
      <c r="AE109" s="535" t="s">
        <v>103</v>
      </c>
      <c r="AF109" s="542">
        <v>23925.1</v>
      </c>
      <c r="AG109" s="274"/>
      <c r="AH109" s="720"/>
      <c r="AI109" s="274">
        <f t="shared" si="16"/>
        <v>3226.4</v>
      </c>
      <c r="AJ109" s="274"/>
      <c r="AK109" s="553">
        <f t="shared" ref="AK109:AK112" si="17">ROUND(IF(AF109=0,0,AI109/ABS(AF109)),3)</f>
        <v>0.13500000000000001</v>
      </c>
      <c r="AL109" s="1884"/>
      <c r="AM109" s="1611"/>
    </row>
    <row r="110" spans="1:41" ht="15" customHeight="1">
      <c r="A110" s="35"/>
      <c r="B110" s="395" t="s">
        <v>129</v>
      </c>
      <c r="C110" s="374"/>
      <c r="D110" s="542">
        <v>95.3</v>
      </c>
      <c r="E110" s="523"/>
      <c r="F110" s="542">
        <v>143.30000000000001</v>
      </c>
      <c r="G110" s="523"/>
      <c r="H110" s="542">
        <v>389.50000000000006</v>
      </c>
      <c r="I110" s="274"/>
      <c r="J110" s="542">
        <v>213.60000000000008</v>
      </c>
      <c r="K110" s="565"/>
      <c r="L110" s="542">
        <v>232.09999999999991</v>
      </c>
      <c r="M110" s="565"/>
      <c r="N110" s="542">
        <v>367.79999999999995</v>
      </c>
      <c r="O110" s="565"/>
      <c r="P110" s="542">
        <v>316.19999999999982</v>
      </c>
      <c r="Q110" s="565"/>
      <c r="R110" s="542">
        <v>95.400000000000091</v>
      </c>
      <c r="S110" s="565"/>
      <c r="T110" s="542">
        <v>347.49999999999977</v>
      </c>
      <c r="U110" s="565"/>
      <c r="V110" s="542">
        <v>340.60000000000036</v>
      </c>
      <c r="W110" s="565"/>
      <c r="X110" s="542">
        <f>$AC110-SUM($D110:V110)</f>
        <v>239.5</v>
      </c>
      <c r="Y110" s="565"/>
      <c r="Z110" s="542"/>
      <c r="AA110" s="299"/>
      <c r="AB110" s="535"/>
      <c r="AC110" s="542">
        <v>2780.8</v>
      </c>
      <c r="AD110" s="274"/>
      <c r="AE110" s="535" t="s">
        <v>103</v>
      </c>
      <c r="AF110" s="542">
        <v>2525.3000000000002</v>
      </c>
      <c r="AG110" s="274"/>
      <c r="AH110" s="720"/>
      <c r="AI110" s="274">
        <f t="shared" si="16"/>
        <v>255.5</v>
      </c>
      <c r="AJ110" s="274"/>
      <c r="AK110" s="276">
        <f t="shared" si="17"/>
        <v>0.10100000000000001</v>
      </c>
      <c r="AL110" s="1884"/>
      <c r="AM110" s="1611"/>
    </row>
    <row r="111" spans="1:41" ht="15" customHeight="1">
      <c r="A111" s="35"/>
      <c r="B111" s="395" t="s">
        <v>130</v>
      </c>
      <c r="C111" s="374"/>
      <c r="D111" s="542">
        <v>21.1</v>
      </c>
      <c r="E111" s="523"/>
      <c r="F111" s="542">
        <v>22.299999999999997</v>
      </c>
      <c r="G111" s="523"/>
      <c r="H111" s="542">
        <v>62.7</v>
      </c>
      <c r="I111" s="274"/>
      <c r="J111" s="542">
        <v>9.3000000000000114</v>
      </c>
      <c r="K111" s="565"/>
      <c r="L111" s="542">
        <v>63.199999999999974</v>
      </c>
      <c r="M111" s="565"/>
      <c r="N111" s="542">
        <v>70.400000000000048</v>
      </c>
      <c r="O111" s="565"/>
      <c r="P111" s="542">
        <v>45.899999999999977</v>
      </c>
      <c r="Q111" s="565"/>
      <c r="R111" s="542">
        <v>28.5</v>
      </c>
      <c r="S111" s="565"/>
      <c r="T111" s="542">
        <v>61.200000000000045</v>
      </c>
      <c r="U111" s="565"/>
      <c r="V111" s="542">
        <v>28.699999999999989</v>
      </c>
      <c r="W111" s="565"/>
      <c r="X111" s="542">
        <f>$AC111-SUM($D111:V111)</f>
        <v>40.199999999999989</v>
      </c>
      <c r="Y111" s="565"/>
      <c r="Z111" s="542"/>
      <c r="AA111" s="299"/>
      <c r="AB111" s="535"/>
      <c r="AC111" s="542">
        <v>453.5</v>
      </c>
      <c r="AD111" s="274"/>
      <c r="AE111" s="535" t="s">
        <v>103</v>
      </c>
      <c r="AF111" s="542">
        <v>289.2</v>
      </c>
      <c r="AG111" s="274"/>
      <c r="AH111" s="720" t="s">
        <v>103</v>
      </c>
      <c r="AI111" s="274">
        <f t="shared" si="16"/>
        <v>164.3</v>
      </c>
      <c r="AJ111" s="274"/>
      <c r="AK111" s="276">
        <f t="shared" si="17"/>
        <v>0.56799999999999995</v>
      </c>
      <c r="AL111" s="1884"/>
      <c r="AM111" s="1611"/>
    </row>
    <row r="112" spans="1:41" ht="15" customHeight="1">
      <c r="A112" s="35"/>
      <c r="B112" s="395" t="s">
        <v>131</v>
      </c>
      <c r="C112" s="374"/>
      <c r="D112" s="542">
        <v>72.3</v>
      </c>
      <c r="E112" s="523"/>
      <c r="F112" s="542">
        <v>444.40000000000003</v>
      </c>
      <c r="G112" s="523"/>
      <c r="H112" s="542">
        <v>423.50000000000006</v>
      </c>
      <c r="I112" s="274"/>
      <c r="J112" s="542">
        <v>195.99999999999994</v>
      </c>
      <c r="K112" s="565"/>
      <c r="L112" s="542">
        <v>170.59999999999991</v>
      </c>
      <c r="M112" s="565"/>
      <c r="N112" s="542">
        <v>600.79999999999995</v>
      </c>
      <c r="O112" s="565"/>
      <c r="P112" s="542">
        <v>1019.3000000000002</v>
      </c>
      <c r="Q112" s="565"/>
      <c r="R112" s="542">
        <v>310.29999999999973</v>
      </c>
      <c r="S112" s="565"/>
      <c r="T112" s="542">
        <v>545.30000000000018</v>
      </c>
      <c r="U112" s="565"/>
      <c r="V112" s="542">
        <v>581.69999999999982</v>
      </c>
      <c r="W112" s="565"/>
      <c r="X112" s="542">
        <f>$AC112-SUM($D112:V112)</f>
        <v>210.90000000000055</v>
      </c>
      <c r="Y112" s="565"/>
      <c r="Z112" s="542"/>
      <c r="AA112" s="299"/>
      <c r="AB112" s="535"/>
      <c r="AC112" s="542">
        <v>4575.1000000000004</v>
      </c>
      <c r="AD112" s="274"/>
      <c r="AE112" s="535" t="s">
        <v>103</v>
      </c>
      <c r="AF112" s="542">
        <v>3924.4</v>
      </c>
      <c r="AG112" s="274"/>
      <c r="AH112" s="720"/>
      <c r="AI112" s="274">
        <f t="shared" si="16"/>
        <v>650.70000000000005</v>
      </c>
      <c r="AJ112" s="274"/>
      <c r="AK112" s="276">
        <f t="shared" si="17"/>
        <v>0.16600000000000001</v>
      </c>
      <c r="AL112" s="1884"/>
      <c r="AM112" s="1611"/>
    </row>
    <row r="113" spans="1:39" ht="15" customHeight="1">
      <c r="A113" s="35"/>
      <c r="B113" s="395" t="s">
        <v>132</v>
      </c>
      <c r="C113" s="374"/>
      <c r="D113" s="542">
        <v>57.4</v>
      </c>
      <c r="E113" s="523"/>
      <c r="F113" s="542">
        <v>8.6000000000000014</v>
      </c>
      <c r="G113" s="523"/>
      <c r="H113" s="542">
        <v>14</v>
      </c>
      <c r="I113" s="274"/>
      <c r="J113" s="542">
        <v>14.199999999999989</v>
      </c>
      <c r="K113" s="565"/>
      <c r="L113" s="542">
        <v>16.600000000000009</v>
      </c>
      <c r="M113" s="565"/>
      <c r="N113" s="542">
        <v>14.500000000000007</v>
      </c>
      <c r="O113" s="565"/>
      <c r="P113" s="542">
        <v>17.099999999999994</v>
      </c>
      <c r="Q113" s="565"/>
      <c r="R113" s="542">
        <v>14.799999999999983</v>
      </c>
      <c r="S113" s="565"/>
      <c r="T113" s="542">
        <v>20.300000000000011</v>
      </c>
      <c r="U113" s="565"/>
      <c r="V113" s="542">
        <v>19.900000000000006</v>
      </c>
      <c r="W113" s="565"/>
      <c r="X113" s="542">
        <f>$AC113-SUM($D113:V113)</f>
        <v>18.299999999999983</v>
      </c>
      <c r="Y113" s="565"/>
      <c r="Z113" s="542"/>
      <c r="AA113" s="299"/>
      <c r="AB113" s="535"/>
      <c r="AC113" s="542">
        <v>215.7</v>
      </c>
      <c r="AD113" s="274"/>
      <c r="AE113" s="535" t="s">
        <v>103</v>
      </c>
      <c r="AF113" s="542">
        <v>177</v>
      </c>
      <c r="AG113" s="274"/>
      <c r="AH113" s="720"/>
      <c r="AI113" s="274">
        <f t="shared" si="16"/>
        <v>38.700000000000003</v>
      </c>
      <c r="AJ113" s="274"/>
      <c r="AK113" s="553">
        <f>ROUND(IF(AF113=0,0,AI113/ABS(AF113)),3)</f>
        <v>0.219</v>
      </c>
      <c r="AL113" s="1884"/>
      <c r="AM113" s="1611"/>
    </row>
    <row r="114" spans="1:39" ht="15" customHeight="1">
      <c r="A114" s="35"/>
      <c r="B114" s="395" t="s">
        <v>133</v>
      </c>
      <c r="C114" s="374"/>
      <c r="D114" s="542">
        <v>0</v>
      </c>
      <c r="E114" s="523"/>
      <c r="F114" s="542">
        <v>46.9</v>
      </c>
      <c r="G114" s="523"/>
      <c r="H114" s="542">
        <v>19.000000000000007</v>
      </c>
      <c r="I114" s="274"/>
      <c r="J114" s="542">
        <v>3.0999999999999943</v>
      </c>
      <c r="K114" s="565"/>
      <c r="L114" s="542">
        <v>56.9</v>
      </c>
      <c r="M114" s="565"/>
      <c r="N114" s="542">
        <v>0</v>
      </c>
      <c r="O114" s="565"/>
      <c r="P114" s="542">
        <v>5.5</v>
      </c>
      <c r="Q114" s="565"/>
      <c r="R114" s="542">
        <v>49.699999999999989</v>
      </c>
      <c r="S114" s="565"/>
      <c r="T114" s="542">
        <v>29.800000000000011</v>
      </c>
      <c r="U114" s="565"/>
      <c r="V114" s="542">
        <v>0</v>
      </c>
      <c r="W114" s="565"/>
      <c r="X114" s="542">
        <f>$AC114-SUM($D114:V114)</f>
        <v>36.799999999999983</v>
      </c>
      <c r="Y114" s="565"/>
      <c r="Z114" s="542"/>
      <c r="AA114" s="299"/>
      <c r="AB114" s="535"/>
      <c r="AC114" s="542">
        <v>247.7</v>
      </c>
      <c r="AD114" s="274"/>
      <c r="AE114" s="535" t="s">
        <v>103</v>
      </c>
      <c r="AF114" s="542">
        <v>374.7</v>
      </c>
      <c r="AG114" s="377"/>
      <c r="AH114" s="725"/>
      <c r="AI114" s="274">
        <f t="shared" si="16"/>
        <v>-127</v>
      </c>
      <c r="AJ114" s="377"/>
      <c r="AK114" s="553">
        <f>ROUND(IF(AF114=0,0,AI114/ABS(AF114)),3)</f>
        <v>-0.33900000000000002</v>
      </c>
      <c r="AL114" s="1884"/>
      <c r="AM114" s="1611"/>
    </row>
    <row r="115" spans="1:39" ht="15" customHeight="1">
      <c r="A115" s="35"/>
      <c r="B115" s="301" t="s">
        <v>460</v>
      </c>
      <c r="C115" s="374"/>
      <c r="D115" s="687">
        <f>ROUND(SUM(D105:D114),1)</f>
        <v>5709.1</v>
      </c>
      <c r="E115" s="13"/>
      <c r="F115" s="687">
        <f>ROUND(SUM(F105:F114),1)</f>
        <v>8617.7000000000007</v>
      </c>
      <c r="G115" s="13"/>
      <c r="H115" s="687">
        <f>ROUND(SUM(H105:H114),1)</f>
        <v>5203.2</v>
      </c>
      <c r="I115" s="13"/>
      <c r="J115" s="687">
        <f>ROUND(SUM(J105:J114),1)</f>
        <v>4561</v>
      </c>
      <c r="K115" s="13"/>
      <c r="L115" s="687">
        <f>ROUND(SUM(L105:L114),1)</f>
        <v>3663.3</v>
      </c>
      <c r="M115" s="13"/>
      <c r="N115" s="687">
        <f>ROUND(SUM(N105:N114),1)</f>
        <v>6019.9</v>
      </c>
      <c r="O115" s="13"/>
      <c r="P115" s="687">
        <f>ROUND(SUM(P105:P114),1)</f>
        <v>6119.8</v>
      </c>
      <c r="Q115" s="13"/>
      <c r="R115" s="687">
        <f>ROUND(SUM(R105:R114),1)</f>
        <v>5109.2</v>
      </c>
      <c r="S115" s="13"/>
      <c r="T115" s="687">
        <f>ROUND(SUM(T105:T114),1)</f>
        <v>6275.1</v>
      </c>
      <c r="U115" s="13"/>
      <c r="V115" s="687">
        <f>ROUND(SUM(V105:V114),1)</f>
        <v>5324.2</v>
      </c>
      <c r="W115" s="13"/>
      <c r="X115" s="687">
        <f>ROUND(SUM(X105:X114),1)</f>
        <v>4087.2</v>
      </c>
      <c r="Y115" s="13"/>
      <c r="Z115" s="687">
        <f>ROUND(SUM(Z105:Z114),1)</f>
        <v>0</v>
      </c>
      <c r="AA115" s="40"/>
      <c r="AB115" s="685"/>
      <c r="AC115" s="687">
        <f>ROUND(SUM(AC105:AC114),1)</f>
        <v>60689.7</v>
      </c>
      <c r="AD115" s="13"/>
      <c r="AE115" s="683" t="s">
        <v>103</v>
      </c>
      <c r="AF115" s="687">
        <f>ROUND(SUM(AF105:AF114),1)</f>
        <v>55345</v>
      </c>
      <c r="AG115" s="13"/>
      <c r="AH115" s="721"/>
      <c r="AI115" s="687">
        <f>ROUND(SUM(+AC115-AF115),1)</f>
        <v>5344.7</v>
      </c>
      <c r="AJ115" s="13"/>
      <c r="AK115" s="1226">
        <f>ROUND(SUM(AI115/AF115),3)</f>
        <v>9.7000000000000003E-2</v>
      </c>
      <c r="AL115" s="1884"/>
      <c r="AM115" s="1611"/>
    </row>
    <row r="116" spans="1:39" ht="15" customHeight="1">
      <c r="A116" s="35"/>
      <c r="B116" s="301" t="s">
        <v>461</v>
      </c>
      <c r="C116" s="3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8"/>
      <c r="AB116" s="1051"/>
      <c r="AC116" s="274"/>
      <c r="AD116" s="274"/>
      <c r="AE116" s="535"/>
      <c r="AF116" s="274"/>
      <c r="AG116" s="274"/>
      <c r="AH116" s="720"/>
      <c r="AI116" s="274"/>
      <c r="AJ116" s="274"/>
      <c r="AK116" s="293"/>
      <c r="AL116" s="1884"/>
      <c r="AM116" s="1611"/>
    </row>
    <row r="117" spans="1:39" ht="15" customHeight="1">
      <c r="A117" s="35"/>
      <c r="B117" s="301" t="s">
        <v>462</v>
      </c>
      <c r="C117" s="374"/>
      <c r="D117" s="542">
        <v>838</v>
      </c>
      <c r="E117" s="523"/>
      <c r="F117" s="542">
        <v>997.5</v>
      </c>
      <c r="G117" s="523"/>
      <c r="H117" s="542">
        <v>808.20000000000027</v>
      </c>
      <c r="I117" s="274"/>
      <c r="J117" s="542">
        <v>1090.3999999999996</v>
      </c>
      <c r="K117" s="565"/>
      <c r="L117" s="542">
        <v>902.09999999999991</v>
      </c>
      <c r="M117" s="565"/>
      <c r="N117" s="542">
        <v>828.69999999999982</v>
      </c>
      <c r="O117" s="565"/>
      <c r="P117" s="542">
        <v>993.89999999999964</v>
      </c>
      <c r="Q117" s="565"/>
      <c r="R117" s="542">
        <v>817.40000000000055</v>
      </c>
      <c r="S117" s="565"/>
      <c r="T117" s="542">
        <v>1056.4000000000005</v>
      </c>
      <c r="U117" s="565"/>
      <c r="V117" s="542">
        <v>765.39999999999964</v>
      </c>
      <c r="W117" s="565"/>
      <c r="X117" s="542">
        <f>$AC117-SUM($D117:V117)</f>
        <v>823.20000000000073</v>
      </c>
      <c r="Y117" s="565"/>
      <c r="Z117" s="542"/>
      <c r="AA117" s="299"/>
      <c r="AB117" s="535"/>
      <c r="AC117" s="542">
        <v>9921.2000000000007</v>
      </c>
      <c r="AD117" s="274"/>
      <c r="AE117" s="535" t="s">
        <v>103</v>
      </c>
      <c r="AF117" s="542">
        <v>9248</v>
      </c>
      <c r="AG117" s="274"/>
      <c r="AH117" s="720"/>
      <c r="AI117" s="274">
        <f>ROUND(SUM(+AC117-AF117),1)</f>
        <v>673.2</v>
      </c>
      <c r="AJ117" s="274"/>
      <c r="AK117" s="276">
        <f>ROUND(IF(AF117=0,0,AI117/ABS(AF117)),3)</f>
        <v>7.2999999999999995E-2</v>
      </c>
      <c r="AL117" s="1884"/>
      <c r="AM117" s="1611"/>
    </row>
    <row r="118" spans="1:39" ht="15" customHeight="1">
      <c r="A118" s="35"/>
      <c r="B118" s="423" t="s">
        <v>463</v>
      </c>
      <c r="C118" s="374"/>
      <c r="D118" s="542">
        <v>166.7</v>
      </c>
      <c r="E118" s="523"/>
      <c r="F118" s="542">
        <v>303.8</v>
      </c>
      <c r="G118" s="523"/>
      <c r="H118" s="542">
        <v>247.49999999999994</v>
      </c>
      <c r="I118" s="274"/>
      <c r="J118" s="542">
        <v>280.2000000000001</v>
      </c>
      <c r="K118" s="565"/>
      <c r="L118" s="542">
        <v>310.59999999999985</v>
      </c>
      <c r="M118" s="565"/>
      <c r="N118" s="542">
        <v>192.20000000000005</v>
      </c>
      <c r="O118" s="565"/>
      <c r="P118" s="542">
        <v>300.79999999999995</v>
      </c>
      <c r="Q118" s="565"/>
      <c r="R118" s="542">
        <v>-206.39999999999986</v>
      </c>
      <c r="S118" s="565"/>
      <c r="T118" s="542">
        <v>238.09999999999991</v>
      </c>
      <c r="U118" s="565"/>
      <c r="V118" s="542">
        <v>300.59999999999991</v>
      </c>
      <c r="W118" s="565"/>
      <c r="X118" s="542">
        <f>$AC118-SUM($D118:V118)</f>
        <v>345</v>
      </c>
      <c r="Y118" s="565"/>
      <c r="Z118" s="542"/>
      <c r="AA118" s="299"/>
      <c r="AB118" s="535"/>
      <c r="AC118" s="542">
        <v>2479.1</v>
      </c>
      <c r="AD118" s="274"/>
      <c r="AE118" s="535" t="s">
        <v>103</v>
      </c>
      <c r="AF118" s="542">
        <v>1946.5</v>
      </c>
      <c r="AG118" s="274"/>
      <c r="AH118" s="720"/>
      <c r="AI118" s="274">
        <f>ROUND(SUM(+AC118-AF118),1)</f>
        <v>532.6</v>
      </c>
      <c r="AJ118" s="274"/>
      <c r="AK118" s="954">
        <f>ROUND(IF(AF118=0,0,AI118/ABS(AF118)),3)</f>
        <v>0.27400000000000002</v>
      </c>
      <c r="AL118" s="1884"/>
      <c r="AM118" s="1611"/>
    </row>
    <row r="119" spans="1:39" ht="15" customHeight="1">
      <c r="A119" s="35"/>
      <c r="B119" s="423" t="s">
        <v>464</v>
      </c>
      <c r="C119" s="374"/>
      <c r="D119" s="542">
        <v>670.5</v>
      </c>
      <c r="E119" s="523"/>
      <c r="F119" s="542">
        <v>690.3</v>
      </c>
      <c r="G119" s="523"/>
      <c r="H119" s="542">
        <v>548</v>
      </c>
      <c r="I119" s="274"/>
      <c r="J119" s="542">
        <v>599.89999999999986</v>
      </c>
      <c r="K119" s="565"/>
      <c r="L119" s="542">
        <v>519.5</v>
      </c>
      <c r="M119" s="565"/>
      <c r="N119" s="542">
        <v>579.2000000000005</v>
      </c>
      <c r="O119" s="565"/>
      <c r="P119" s="542">
        <v>600.49999999999909</v>
      </c>
      <c r="Q119" s="565"/>
      <c r="R119" s="542">
        <v>515.70000000000073</v>
      </c>
      <c r="S119" s="565"/>
      <c r="T119" s="542">
        <v>555.39999999999964</v>
      </c>
      <c r="U119" s="565"/>
      <c r="V119" s="542">
        <v>695.60000000000036</v>
      </c>
      <c r="W119" s="565"/>
      <c r="X119" s="542">
        <f>$AC119-SUM($D119:V119)</f>
        <v>2005.3999999999996</v>
      </c>
      <c r="Y119" s="565"/>
      <c r="Z119" s="542"/>
      <c r="AA119" s="299"/>
      <c r="AB119" s="535"/>
      <c r="AC119" s="542">
        <v>7980</v>
      </c>
      <c r="AD119" s="274"/>
      <c r="AE119" s="535" t="s">
        <v>103</v>
      </c>
      <c r="AF119" s="542">
        <v>8282.2999999999993</v>
      </c>
      <c r="AG119" s="274"/>
      <c r="AH119" s="720"/>
      <c r="AI119" s="393">
        <f>ROUND(SUM(+AC119-AF119),1)</f>
        <v>-302.3</v>
      </c>
      <c r="AJ119" s="274"/>
      <c r="AK119" s="544">
        <f>ROUND(IF(AF119=0,0,AI119/ABS(AF119)),3)</f>
        <v>-3.5999999999999997E-2</v>
      </c>
      <c r="AL119" s="1884"/>
      <c r="AM119" s="1611"/>
    </row>
    <row r="120" spans="1:39" ht="7.5" customHeight="1">
      <c r="A120" s="35"/>
      <c r="B120" s="301"/>
      <c r="C120" s="374"/>
      <c r="D120" s="629"/>
      <c r="E120" s="274"/>
      <c r="F120" s="629"/>
      <c r="G120" s="274"/>
      <c r="H120" s="629"/>
      <c r="I120" s="274"/>
      <c r="J120" s="629"/>
      <c r="K120" s="274"/>
      <c r="L120" s="629"/>
      <c r="M120" s="274"/>
      <c r="N120" s="629"/>
      <c r="O120" s="274"/>
      <c r="P120" s="629"/>
      <c r="Q120" s="274"/>
      <c r="R120" s="1054"/>
      <c r="S120" s="274"/>
      <c r="T120" s="629"/>
      <c r="U120" s="274"/>
      <c r="V120" s="629"/>
      <c r="W120" s="274"/>
      <c r="X120" s="629"/>
      <c r="Y120" s="274"/>
      <c r="Z120" s="629"/>
      <c r="AA120" s="278"/>
      <c r="AB120" s="1051"/>
      <c r="AC120" s="629"/>
      <c r="AD120" s="274"/>
      <c r="AE120" s="535"/>
      <c r="AF120" s="629"/>
      <c r="AG120" s="274"/>
      <c r="AH120" s="720"/>
      <c r="AI120" s="274"/>
      <c r="AJ120" s="274"/>
      <c r="AK120" s="293"/>
      <c r="AL120" s="1884"/>
      <c r="AM120" s="1611"/>
    </row>
    <row r="121" spans="1:39" ht="15" customHeight="1">
      <c r="A121" s="35"/>
      <c r="B121" s="3" t="s">
        <v>465</v>
      </c>
      <c r="C121" s="374"/>
      <c r="D121" s="13">
        <f>ROUND(SUM(D117:D119)+D115,1)</f>
        <v>7384.3</v>
      </c>
      <c r="E121" s="13"/>
      <c r="F121" s="13">
        <f>ROUND(SUM(F117:F119)+F115,1)</f>
        <v>10609.3</v>
      </c>
      <c r="G121" s="13"/>
      <c r="H121" s="13">
        <f>ROUND(SUM(H117:H119)+H115,1)</f>
        <v>6806.9</v>
      </c>
      <c r="I121" s="13"/>
      <c r="J121" s="13">
        <f>ROUND(SUM(J117:J119)+J115,1)</f>
        <v>6531.5</v>
      </c>
      <c r="K121" s="13"/>
      <c r="L121" s="13">
        <f>ROUND(SUM(L117:L119)+L115,1)</f>
        <v>5395.5</v>
      </c>
      <c r="M121" s="13"/>
      <c r="N121" s="13">
        <f>ROUND(SUM(N117:N119)+N115,1)</f>
        <v>7620</v>
      </c>
      <c r="O121" s="13"/>
      <c r="P121" s="13">
        <f>ROUND(SUM(P117:P119)+P115,1)</f>
        <v>8015</v>
      </c>
      <c r="Q121" s="13"/>
      <c r="R121" s="13">
        <f>ROUND(SUM(R117:R119)+R115,1)</f>
        <v>6235.9</v>
      </c>
      <c r="S121" s="13"/>
      <c r="T121" s="13">
        <f>ROUND(SUM(T117:T119)+T115,1)</f>
        <v>8125</v>
      </c>
      <c r="U121" s="13"/>
      <c r="V121" s="13">
        <f>ROUND(SUM(V117:V119)+V115,1)</f>
        <v>7085.8</v>
      </c>
      <c r="W121" s="13"/>
      <c r="X121" s="13">
        <f>ROUND(SUM(X117:X119)+X115,1)</f>
        <v>7260.8</v>
      </c>
      <c r="Y121" s="13"/>
      <c r="Z121" s="13">
        <f>ROUND(SUM(Z117:Z119)+Z115,1)</f>
        <v>0</v>
      </c>
      <c r="AA121" s="40"/>
      <c r="AB121" s="685"/>
      <c r="AC121" s="13">
        <f>ROUND(SUM(AC117:AC119)+AC115,1)</f>
        <v>81070</v>
      </c>
      <c r="AD121" s="13"/>
      <c r="AE121" s="683"/>
      <c r="AF121" s="13">
        <f>ROUND(SUM(AF117:AF119)+AF115,1)</f>
        <v>74821.8</v>
      </c>
      <c r="AG121" s="13"/>
      <c r="AH121" s="721"/>
      <c r="AI121" s="367">
        <f>ROUND(SUM(AI115:AI119),1)</f>
        <v>6248.2</v>
      </c>
      <c r="AJ121" s="13"/>
      <c r="AK121" s="1056">
        <f>ROUND(SUM(AI121/AF121),3)</f>
        <v>8.4000000000000005E-2</v>
      </c>
      <c r="AL121" s="1884"/>
      <c r="AM121" s="1611"/>
    </row>
    <row r="122" spans="1:39" ht="15" customHeight="1">
      <c r="A122" s="35"/>
      <c r="B122" s="301"/>
      <c r="C122" s="374"/>
      <c r="D122" s="629"/>
      <c r="E122" s="274"/>
      <c r="F122" s="629"/>
      <c r="G122" s="274"/>
      <c r="H122" s="629"/>
      <c r="I122" s="274"/>
      <c r="J122" s="629"/>
      <c r="K122" s="274"/>
      <c r="L122" s="629"/>
      <c r="M122" s="274"/>
      <c r="N122" s="629"/>
      <c r="O122" s="274"/>
      <c r="P122" s="629"/>
      <c r="Q122" s="274"/>
      <c r="R122" s="629"/>
      <c r="S122" s="274"/>
      <c r="T122" s="629"/>
      <c r="U122" s="274"/>
      <c r="V122" s="629"/>
      <c r="W122" s="274"/>
      <c r="X122" s="629"/>
      <c r="Y122" s="274"/>
      <c r="Z122" s="629"/>
      <c r="AA122" s="278"/>
      <c r="AB122" s="1051"/>
      <c r="AC122" s="629"/>
      <c r="AD122" s="274"/>
      <c r="AE122" s="535"/>
      <c r="AF122" s="629"/>
      <c r="AG122" s="274"/>
      <c r="AH122" s="720"/>
      <c r="AI122" s="274"/>
      <c r="AJ122" s="274"/>
      <c r="AK122" s="293"/>
      <c r="AL122" s="1884"/>
      <c r="AM122" s="1611"/>
    </row>
    <row r="123" spans="1:39" ht="15" customHeight="1">
      <c r="A123" s="35"/>
      <c r="B123" s="3" t="s">
        <v>466</v>
      </c>
      <c r="C123" s="3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c r="AA123" s="278"/>
      <c r="AB123" s="1051"/>
      <c r="AC123" s="274"/>
      <c r="AD123" s="274"/>
      <c r="AE123" s="535"/>
      <c r="AF123" s="274"/>
      <c r="AG123" s="274"/>
      <c r="AH123" s="720"/>
      <c r="AI123" s="274"/>
      <c r="AJ123" s="274"/>
      <c r="AK123" s="293"/>
      <c r="AL123" s="1884"/>
      <c r="AM123" s="1611"/>
    </row>
    <row r="124" spans="1:39" ht="15" customHeight="1">
      <c r="A124" s="35"/>
      <c r="B124" s="3" t="s">
        <v>144</v>
      </c>
      <c r="C124" s="374"/>
      <c r="D124" s="13">
        <f>ROUND(SUM(D101-D121),1)</f>
        <v>-1119.0999999999999</v>
      </c>
      <c r="E124" s="13"/>
      <c r="F124" s="13">
        <f>ROUND(SUM(F101-F121),1)</f>
        <v>-7200.2</v>
      </c>
      <c r="G124" s="13"/>
      <c r="H124" s="13">
        <f>ROUND(SUM(H101-H121),1)</f>
        <v>470.6</v>
      </c>
      <c r="I124" s="13"/>
      <c r="J124" s="13">
        <f>ROUND(SUM(J101-J121),1)</f>
        <v>-3272.8</v>
      </c>
      <c r="K124" s="13"/>
      <c r="L124" s="13">
        <f>ROUND(SUM(L101-L121),1)</f>
        <v>-2231.6</v>
      </c>
      <c r="M124" s="13"/>
      <c r="N124" s="13">
        <f>ROUND(SUM(N101-N121),1)</f>
        <v>-216.3</v>
      </c>
      <c r="O124" s="13"/>
      <c r="P124" s="13">
        <f>ROUND(SUM(P101-P121),1)</f>
        <v>-5823.5</v>
      </c>
      <c r="Q124" s="13"/>
      <c r="R124" s="13">
        <f>ROUND(SUM(R101-R121),1)</f>
        <v>-3135.2</v>
      </c>
      <c r="S124" s="13"/>
      <c r="T124" s="13">
        <f>ROUND(SUM(T101-T121),1)</f>
        <v>4256.6000000000004</v>
      </c>
      <c r="U124" s="13"/>
      <c r="V124" s="13">
        <f>ROUND(SUM(V101-V121),1)</f>
        <v>-2151</v>
      </c>
      <c r="W124" s="13"/>
      <c r="X124" s="13">
        <f>ROUND(SUM(X101-X121),1)</f>
        <v>-2948.1</v>
      </c>
      <c r="Y124" s="13"/>
      <c r="Z124" s="13">
        <f>ROUND(SUM(Z101-Z121),1)</f>
        <v>0</v>
      </c>
      <c r="AA124" s="40"/>
      <c r="AB124" s="685"/>
      <c r="AC124" s="13">
        <f>ROUND(SUM(AC101-AC121),1)</f>
        <v>-23370.6</v>
      </c>
      <c r="AD124" s="13"/>
      <c r="AE124" s="683"/>
      <c r="AF124" s="13">
        <f>ROUND(SUM(AF101-AF121),1)</f>
        <v>-24541.3</v>
      </c>
      <c r="AG124" s="13"/>
      <c r="AH124" s="721"/>
      <c r="AI124" s="367">
        <f>ROUND(SUM(+AC124-AF124),1)</f>
        <v>1170.7</v>
      </c>
      <c r="AJ124" s="13"/>
      <c r="AK124" s="625">
        <f>-ROUND(AI124/AF124,3)</f>
        <v>4.8000000000000001E-2</v>
      </c>
      <c r="AL124" s="1884"/>
      <c r="AM124" s="1611"/>
    </row>
    <row r="125" spans="1:39" ht="15" customHeight="1">
      <c r="A125" s="35"/>
      <c r="B125" s="301"/>
      <c r="C125" s="374"/>
      <c r="D125" s="629"/>
      <c r="E125" s="274"/>
      <c r="F125" s="629"/>
      <c r="G125" s="274"/>
      <c r="H125" s="629"/>
      <c r="I125" s="274"/>
      <c r="J125" s="629"/>
      <c r="K125" s="274"/>
      <c r="L125" s="629"/>
      <c r="M125" s="274"/>
      <c r="N125" s="629"/>
      <c r="O125" s="274"/>
      <c r="P125" s="629"/>
      <c r="Q125" s="274"/>
      <c r="R125" s="629"/>
      <c r="S125" s="274"/>
      <c r="T125" s="629"/>
      <c r="U125" s="274"/>
      <c r="V125" s="629"/>
      <c r="W125" s="274"/>
      <c r="X125" s="629"/>
      <c r="Y125" s="274"/>
      <c r="Z125" s="629"/>
      <c r="AA125" s="278"/>
      <c r="AB125" s="1051"/>
      <c r="AC125" s="629"/>
      <c r="AD125" s="274"/>
      <c r="AE125" s="535"/>
      <c r="AF125" s="629"/>
      <c r="AG125" s="629"/>
      <c r="AH125" s="720"/>
      <c r="AI125" s="274"/>
      <c r="AJ125" s="274"/>
      <c r="AK125" s="293"/>
      <c r="AL125" s="1884"/>
      <c r="AM125" s="1611"/>
    </row>
    <row r="126" spans="1:39" ht="15" customHeight="1">
      <c r="A126" s="35"/>
      <c r="B126" s="3" t="s">
        <v>145</v>
      </c>
      <c r="C126" s="3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8"/>
      <c r="AB126" s="1051"/>
      <c r="AC126" s="274"/>
      <c r="AD126" s="274"/>
      <c r="AE126" s="535"/>
      <c r="AF126" s="274"/>
      <c r="AG126" s="274"/>
      <c r="AH126" s="720"/>
      <c r="AI126" s="274"/>
      <c r="AJ126" s="274"/>
      <c r="AK126" s="293"/>
      <c r="AL126" s="1884"/>
      <c r="AM126" s="1611"/>
    </row>
    <row r="127" spans="1:39" ht="15" customHeight="1">
      <c r="A127" s="35"/>
      <c r="B127" s="3"/>
      <c r="C127" s="3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8"/>
      <c r="AB127" s="1051"/>
      <c r="AC127" s="274"/>
      <c r="AD127" s="274"/>
      <c r="AE127" s="535"/>
      <c r="AF127" s="274"/>
      <c r="AG127" s="274"/>
      <c r="AH127" s="720"/>
      <c r="AI127" s="274"/>
      <c r="AJ127" s="274"/>
      <c r="AK127" s="293"/>
      <c r="AL127" s="1884"/>
      <c r="AM127" s="1611"/>
    </row>
    <row r="128" spans="1:39" ht="15" customHeight="1">
      <c r="A128" s="35"/>
      <c r="B128" s="423" t="s">
        <v>467</v>
      </c>
      <c r="C128" s="374"/>
      <c r="D128" s="542">
        <v>3672.8</v>
      </c>
      <c r="E128" s="523"/>
      <c r="F128" s="542">
        <v>2007.3000000000002</v>
      </c>
      <c r="G128" s="523"/>
      <c r="H128" s="542">
        <v>4097.5</v>
      </c>
      <c r="I128" s="274"/>
      <c r="J128" s="542">
        <v>1956.1999999999989</v>
      </c>
      <c r="K128" s="565"/>
      <c r="L128" s="542">
        <v>1602.8000000000002</v>
      </c>
      <c r="M128" s="565"/>
      <c r="N128" s="542">
        <v>4171.3000000000038</v>
      </c>
      <c r="O128" s="565"/>
      <c r="P128" s="542">
        <v>912.09999999999854</v>
      </c>
      <c r="Q128" s="565"/>
      <c r="R128" s="542">
        <v>1884.2999999999993</v>
      </c>
      <c r="S128" s="565"/>
      <c r="T128" s="542">
        <v>5396</v>
      </c>
      <c r="U128" s="565"/>
      <c r="V128" s="542">
        <v>4610.7999999999993</v>
      </c>
      <c r="W128" s="565"/>
      <c r="X128" s="542">
        <f>$AC128-SUM($D128:V128)</f>
        <v>1403.8000000000029</v>
      </c>
      <c r="Y128" s="565"/>
      <c r="Z128" s="542"/>
      <c r="AA128" s="299"/>
      <c r="AB128" s="535"/>
      <c r="AC128" s="542">
        <v>31714.9</v>
      </c>
      <c r="AD128" s="274"/>
      <c r="AE128" s="535" t="s">
        <v>103</v>
      </c>
      <c r="AF128" s="542">
        <v>27896</v>
      </c>
      <c r="AG128" s="274"/>
      <c r="AH128" s="720"/>
      <c r="AI128" s="274">
        <f>ROUND(SUM(+AC128-AF128),1)</f>
        <v>3818.9</v>
      </c>
      <c r="AJ128" s="274"/>
      <c r="AK128" s="276">
        <f>ROUND(IF(AF128=0,0,AI128/ABS(AF128)),3)</f>
        <v>0.13700000000000001</v>
      </c>
      <c r="AL128" s="1884"/>
      <c r="AM128" s="1611"/>
    </row>
    <row r="129" spans="1:39" ht="15" customHeight="1">
      <c r="A129" s="35"/>
      <c r="B129" s="423" t="s">
        <v>468</v>
      </c>
      <c r="C129" s="374"/>
      <c r="D129" s="542">
        <v>620.20000000000005</v>
      </c>
      <c r="E129" s="523"/>
      <c r="F129" s="542">
        <v>672.3</v>
      </c>
      <c r="G129" s="523"/>
      <c r="H129" s="542">
        <v>873.40000000000009</v>
      </c>
      <c r="I129" s="274"/>
      <c r="J129" s="542">
        <v>695.49999999999977</v>
      </c>
      <c r="K129" s="565"/>
      <c r="L129" s="542">
        <v>700.8</v>
      </c>
      <c r="M129" s="565"/>
      <c r="N129" s="542">
        <v>1173</v>
      </c>
      <c r="O129" s="565"/>
      <c r="P129" s="542">
        <v>692.60000000000036</v>
      </c>
      <c r="Q129" s="565"/>
      <c r="R129" s="542">
        <v>590.19999999999982</v>
      </c>
      <c r="S129" s="565"/>
      <c r="T129" s="542">
        <v>809.5</v>
      </c>
      <c r="U129" s="565"/>
      <c r="V129" s="542">
        <v>687.10000000000036</v>
      </c>
      <c r="W129" s="565"/>
      <c r="X129" s="542">
        <f>$AC129-SUM($D129:V129)</f>
        <v>572.69999999999982</v>
      </c>
      <c r="Y129" s="565"/>
      <c r="Z129" s="542"/>
      <c r="AA129" s="299"/>
      <c r="AB129" s="535"/>
      <c r="AC129" s="542">
        <v>8087.3</v>
      </c>
      <c r="AD129" s="274"/>
      <c r="AE129" s="535" t="s">
        <v>103</v>
      </c>
      <c r="AF129" s="542">
        <v>7850</v>
      </c>
      <c r="AG129" s="274"/>
      <c r="AH129" s="720"/>
      <c r="AI129" s="274">
        <f>ROUND(SUM(+AC129-AF129),1)</f>
        <v>237.3</v>
      </c>
      <c r="AJ129" s="274"/>
      <c r="AK129" s="276">
        <f>ROUND(IF(AF129=0,0,AI129/ABS(AF129)),3)</f>
        <v>0.03</v>
      </c>
      <c r="AL129" s="1884"/>
      <c r="AM129" s="1611"/>
    </row>
    <row r="130" spans="1:39" ht="15" customHeight="1">
      <c r="A130" s="35"/>
      <c r="B130" s="423" t="s">
        <v>469</v>
      </c>
      <c r="C130" s="374"/>
      <c r="D130" s="542">
        <v>78.599999999999994</v>
      </c>
      <c r="E130" s="523"/>
      <c r="F130" s="542">
        <v>94.6</v>
      </c>
      <c r="G130" s="523"/>
      <c r="H130" s="542">
        <v>66.600000000000023</v>
      </c>
      <c r="I130" s="274"/>
      <c r="J130" s="542">
        <v>88.300000000000011</v>
      </c>
      <c r="K130" s="565"/>
      <c r="L130" s="542">
        <v>94.6</v>
      </c>
      <c r="M130" s="565"/>
      <c r="N130" s="542">
        <v>75.399999999999949</v>
      </c>
      <c r="O130" s="565"/>
      <c r="P130" s="542">
        <v>79.5</v>
      </c>
      <c r="Q130" s="565"/>
      <c r="R130" s="542">
        <v>78.699999999999932</v>
      </c>
      <c r="S130" s="565"/>
      <c r="T130" s="542">
        <v>72.400000000000091</v>
      </c>
      <c r="U130" s="565"/>
      <c r="V130" s="542">
        <v>94.5</v>
      </c>
      <c r="W130" s="565"/>
      <c r="X130" s="542">
        <f>$AC130-SUM($D130:V130)</f>
        <v>77.299999999999955</v>
      </c>
      <c r="Y130" s="565"/>
      <c r="Z130" s="542"/>
      <c r="AA130" s="299"/>
      <c r="AB130" s="535"/>
      <c r="AC130" s="542">
        <v>900.5</v>
      </c>
      <c r="AD130" s="274"/>
      <c r="AE130" s="535" t="s">
        <v>103</v>
      </c>
      <c r="AF130" s="542">
        <v>830.4</v>
      </c>
      <c r="AG130" s="274"/>
      <c r="AH130" s="720"/>
      <c r="AI130" s="274">
        <f>ROUND(SUM(+AC130-AF130),1)</f>
        <v>70.099999999999994</v>
      </c>
      <c r="AJ130" s="274"/>
      <c r="AK130" s="276">
        <f>ROUND(IF(AF130=0,0,AI130/ABS(AF130)),3)</f>
        <v>8.4000000000000005E-2</v>
      </c>
      <c r="AL130" s="1884"/>
      <c r="AM130" s="1611"/>
    </row>
    <row r="131" spans="1:39" ht="15" customHeight="1">
      <c r="A131" s="35"/>
      <c r="B131" s="423" t="s">
        <v>470</v>
      </c>
      <c r="C131" s="374"/>
      <c r="D131" s="542">
        <v>152.89999999999964</v>
      </c>
      <c r="E131" s="523"/>
      <c r="F131" s="542">
        <v>300</v>
      </c>
      <c r="G131" s="523"/>
      <c r="H131" s="542">
        <v>176.00000000000182</v>
      </c>
      <c r="I131" s="274"/>
      <c r="J131" s="542">
        <v>201.59999999999854</v>
      </c>
      <c r="K131" s="565"/>
      <c r="L131" s="542">
        <v>144.59999999999673</v>
      </c>
      <c r="M131" s="565"/>
      <c r="N131" s="542">
        <v>138.80000000000109</v>
      </c>
      <c r="O131" s="565"/>
      <c r="P131" s="542">
        <v>109.40000000000509</v>
      </c>
      <c r="Q131" s="565"/>
      <c r="R131" s="542">
        <v>197.29999999999927</v>
      </c>
      <c r="S131" s="565"/>
      <c r="T131" s="542">
        <v>290.20000000000437</v>
      </c>
      <c r="U131" s="565"/>
      <c r="V131" s="542">
        <v>363.60000000000218</v>
      </c>
      <c r="W131" s="565"/>
      <c r="X131" s="542">
        <f>$AC131-SUM($D131:V131)</f>
        <v>792.99999999998545</v>
      </c>
      <c r="Y131" s="565"/>
      <c r="Z131" s="542"/>
      <c r="AA131" s="299"/>
      <c r="AB131" s="535"/>
      <c r="AC131" s="542">
        <v>2867.3999999999942</v>
      </c>
      <c r="AD131" s="274"/>
      <c r="AE131" s="535" t="s">
        <v>103</v>
      </c>
      <c r="AF131" s="542">
        <v>2261.1999999999971</v>
      </c>
      <c r="AG131" s="274"/>
      <c r="AH131" s="720"/>
      <c r="AI131" s="274">
        <f>ROUND(SUM(+AC131-AF131),1)</f>
        <v>606.20000000000005</v>
      </c>
      <c r="AJ131" s="274"/>
      <c r="AK131" s="553">
        <f>ROUND(IF(AF131=0,0,AI131/ABS(AF131)),3)</f>
        <v>0.26800000000000002</v>
      </c>
      <c r="AL131" s="1884"/>
      <c r="AM131" s="1611"/>
    </row>
    <row r="132" spans="1:39" ht="15" customHeight="1">
      <c r="A132" s="35" t="s">
        <v>103</v>
      </c>
      <c r="B132" s="301" t="s">
        <v>471</v>
      </c>
      <c r="C132" s="374"/>
      <c r="D132" s="542">
        <v>-193.4</v>
      </c>
      <c r="E132" s="523"/>
      <c r="F132" s="542">
        <v>945.19999999999993</v>
      </c>
      <c r="G132" s="523"/>
      <c r="H132" s="542">
        <v>-579.39999999999986</v>
      </c>
      <c r="I132" s="274"/>
      <c r="J132" s="542">
        <v>-178.5</v>
      </c>
      <c r="K132" s="565"/>
      <c r="L132" s="542">
        <v>-713.8</v>
      </c>
      <c r="M132" s="565"/>
      <c r="N132" s="542">
        <v>-425.60000000000014</v>
      </c>
      <c r="O132" s="565"/>
      <c r="P132" s="542">
        <v>-1346.3000000000002</v>
      </c>
      <c r="Q132" s="565"/>
      <c r="R132" s="542">
        <v>-571.79999999999973</v>
      </c>
      <c r="S132" s="565"/>
      <c r="T132" s="542">
        <v>-940.80000000000018</v>
      </c>
      <c r="U132" s="565"/>
      <c r="V132" s="542">
        <v>-393.90000000000009</v>
      </c>
      <c r="W132" s="565"/>
      <c r="X132" s="542">
        <f>$AC132-SUM($D132:V132)</f>
        <v>-869.09999999999945</v>
      </c>
      <c r="Y132" s="565"/>
      <c r="Z132" s="542"/>
      <c r="AA132" s="299"/>
      <c r="AB132" s="535"/>
      <c r="AC132" s="542">
        <v>-5267.4</v>
      </c>
      <c r="AD132" s="274"/>
      <c r="AE132" s="535" t="s">
        <v>103</v>
      </c>
      <c r="AF132" s="542">
        <v>-2779.1</v>
      </c>
      <c r="AG132" s="274"/>
      <c r="AH132" s="720"/>
      <c r="AI132" s="274">
        <f>ROUND(SUM(+AC132-AF132)*-1,1)</f>
        <v>2488.3000000000002</v>
      </c>
      <c r="AJ132" s="274"/>
      <c r="AK132" s="553">
        <f t="shared" ref="AK132" si="18">ROUND(IF(AF132=0,0,AI132/ABS(AF132)),3)</f>
        <v>0.89500000000000002</v>
      </c>
      <c r="AL132" s="1884"/>
      <c r="AM132" s="1611"/>
    </row>
    <row r="133" spans="1:39" ht="15" customHeight="1">
      <c r="A133" s="35"/>
      <c r="B133" s="301" t="s">
        <v>472</v>
      </c>
      <c r="C133" s="374"/>
      <c r="D133" s="542">
        <v>-90</v>
      </c>
      <c r="E133" s="523"/>
      <c r="F133" s="542">
        <v>-50</v>
      </c>
      <c r="G133" s="523"/>
      <c r="H133" s="542">
        <v>-199.2</v>
      </c>
      <c r="I133" s="274"/>
      <c r="J133" s="542">
        <v>-60</v>
      </c>
      <c r="K133" s="565"/>
      <c r="L133" s="542">
        <v>-50</v>
      </c>
      <c r="M133" s="565"/>
      <c r="N133" s="542">
        <v>-363.09999999999997</v>
      </c>
      <c r="O133" s="565"/>
      <c r="P133" s="542">
        <v>-50</v>
      </c>
      <c r="Q133" s="565"/>
      <c r="R133" s="542">
        <v>0</v>
      </c>
      <c r="S133" s="565"/>
      <c r="T133" s="542">
        <v>-66.5</v>
      </c>
      <c r="U133" s="565"/>
      <c r="V133" s="542">
        <v>-50</v>
      </c>
      <c r="W133" s="565"/>
      <c r="X133" s="542">
        <f>$AC133-SUM($D133:V133)</f>
        <v>-50</v>
      </c>
      <c r="Y133" s="565"/>
      <c r="Z133" s="542"/>
      <c r="AA133" s="299"/>
      <c r="AB133" s="535"/>
      <c r="AC133" s="542">
        <v>-1028.8</v>
      </c>
      <c r="AD133" s="274"/>
      <c r="AE133" s="535" t="s">
        <v>103</v>
      </c>
      <c r="AF133" s="542">
        <v>-915</v>
      </c>
      <c r="AG133" s="274"/>
      <c r="AH133" s="720"/>
      <c r="AI133" s="274">
        <f>ROUND(SUM(+AC133-AF133)*-1,1)</f>
        <v>113.8</v>
      </c>
      <c r="AJ133" s="274"/>
      <c r="AK133" s="276">
        <f>ROUND(IF(AF133=0,1,AI133/ABS(AF133)),3)</f>
        <v>0.124</v>
      </c>
      <c r="AL133" s="1884"/>
      <c r="AM133" s="1611"/>
    </row>
    <row r="134" spans="1:39" ht="15" customHeight="1">
      <c r="A134" s="35"/>
      <c r="B134" s="301" t="s">
        <v>473</v>
      </c>
      <c r="C134" s="374"/>
      <c r="D134" s="542">
        <v>-23.9</v>
      </c>
      <c r="E134" s="523"/>
      <c r="F134" s="542">
        <v>-3.1000000000000014</v>
      </c>
      <c r="G134" s="523"/>
      <c r="H134" s="542">
        <v>0</v>
      </c>
      <c r="I134" s="274"/>
      <c r="J134" s="542">
        <v>-46.7</v>
      </c>
      <c r="K134" s="565"/>
      <c r="L134" s="542">
        <v>1.4000000000000057</v>
      </c>
      <c r="M134" s="565"/>
      <c r="N134" s="542">
        <v>-22.700000000000003</v>
      </c>
      <c r="O134" s="565"/>
      <c r="P134" s="542">
        <v>-4.9000000000000057</v>
      </c>
      <c r="Q134" s="565"/>
      <c r="R134" s="542">
        <v>0</v>
      </c>
      <c r="S134" s="565"/>
      <c r="T134" s="542">
        <v>4.4000000000000057</v>
      </c>
      <c r="U134" s="565"/>
      <c r="V134" s="542">
        <v>-201.7</v>
      </c>
      <c r="W134" s="565"/>
      <c r="X134" s="542">
        <f>$AC134-SUM($D134:V134)</f>
        <v>12.5</v>
      </c>
      <c r="Y134" s="565"/>
      <c r="Z134" s="542"/>
      <c r="AA134" s="299"/>
      <c r="AB134" s="535"/>
      <c r="AC134" s="542">
        <v>-284.7</v>
      </c>
      <c r="AD134" s="274"/>
      <c r="AE134" s="535" t="s">
        <v>103</v>
      </c>
      <c r="AF134" s="542">
        <v>-241</v>
      </c>
      <c r="AG134" s="274"/>
      <c r="AH134" s="720"/>
      <c r="AI134" s="274">
        <f>ROUND(SUM(+AC134-AF134)*-1,1)</f>
        <v>43.7</v>
      </c>
      <c r="AJ134" s="274"/>
      <c r="AK134" s="276">
        <f>ROUND(IF(AF134=0,0,AI134/ABS(AF134)),3)</f>
        <v>0.18099999999999999</v>
      </c>
      <c r="AL134" s="1884"/>
      <c r="AM134" s="1611"/>
    </row>
    <row r="135" spans="1:39" ht="15" customHeight="1">
      <c r="A135" s="35"/>
      <c r="B135" s="301" t="s">
        <v>474</v>
      </c>
      <c r="C135" s="374"/>
      <c r="D135" s="542">
        <v>-374</v>
      </c>
      <c r="E135" s="523"/>
      <c r="F135" s="542">
        <v>-273.29999999999995</v>
      </c>
      <c r="G135" s="523"/>
      <c r="H135" s="542">
        <v>-868.40000000000009</v>
      </c>
      <c r="I135" s="274"/>
      <c r="J135" s="542">
        <v>-258.49999999999977</v>
      </c>
      <c r="K135" s="565"/>
      <c r="L135" s="542">
        <v>-331.5</v>
      </c>
      <c r="M135" s="565"/>
      <c r="N135" s="542">
        <v>-60.399999999999636</v>
      </c>
      <c r="O135" s="565"/>
      <c r="P135" s="542">
        <v>-101.70000000000073</v>
      </c>
      <c r="Q135" s="565"/>
      <c r="R135" s="542">
        <v>-354.70000000000027</v>
      </c>
      <c r="S135" s="565"/>
      <c r="T135" s="542">
        <v>-131.49999999999909</v>
      </c>
      <c r="U135" s="565"/>
      <c r="V135" s="542">
        <v>-104.79999999999973</v>
      </c>
      <c r="W135" s="565"/>
      <c r="X135" s="542">
        <f>$AC135-SUM($D135:V135)</f>
        <v>-139.20000000000073</v>
      </c>
      <c r="Y135" s="565"/>
      <c r="Z135" s="542"/>
      <c r="AA135" s="299"/>
      <c r="AB135" s="535"/>
      <c r="AC135" s="542">
        <v>-2998</v>
      </c>
      <c r="AD135" s="274"/>
      <c r="AE135" s="535" t="s">
        <v>103</v>
      </c>
      <c r="AF135" s="542">
        <v>-2406.7999999999997</v>
      </c>
      <c r="AG135" s="274"/>
      <c r="AH135" s="720"/>
      <c r="AI135" s="393">
        <f>ROUND(SUM(+AC135-AF135)*-1,1)</f>
        <v>591.20000000000005</v>
      </c>
      <c r="AJ135" s="274"/>
      <c r="AK135" s="544">
        <f>ROUND(IF(AF135=0,0,AI135/ABS(AF135)),3)</f>
        <v>0.246</v>
      </c>
      <c r="AL135" s="1884"/>
      <c r="AM135" s="1611"/>
    </row>
    <row r="136" spans="1:39" ht="5.15" customHeight="1">
      <c r="A136" s="35"/>
      <c r="B136" s="301"/>
      <c r="C136" s="374"/>
      <c r="D136" s="629"/>
      <c r="E136" s="274"/>
      <c r="F136" s="629"/>
      <c r="G136" s="274"/>
      <c r="H136" s="629"/>
      <c r="I136" s="274"/>
      <c r="J136" s="629"/>
      <c r="K136" s="274"/>
      <c r="L136" s="629"/>
      <c r="M136" s="274"/>
      <c r="N136" s="629"/>
      <c r="O136" s="274"/>
      <c r="P136" s="629"/>
      <c r="Q136" s="274"/>
      <c r="R136" s="629"/>
      <c r="S136" s="274"/>
      <c r="T136" s="629"/>
      <c r="U136" s="274"/>
      <c r="V136" s="629"/>
      <c r="W136" s="274"/>
      <c r="X136" s="629"/>
      <c r="Y136" s="274"/>
      <c r="Z136" s="629"/>
      <c r="AA136" s="278"/>
      <c r="AB136" s="1051"/>
      <c r="AC136" s="629"/>
      <c r="AD136" s="274"/>
      <c r="AE136" s="535"/>
      <c r="AF136" s="629"/>
      <c r="AG136" s="274"/>
      <c r="AH136" s="720"/>
      <c r="AI136" s="274"/>
      <c r="AJ136" s="274"/>
      <c r="AK136" s="293"/>
      <c r="AL136" s="1884"/>
      <c r="AM136" s="1611"/>
    </row>
    <row r="137" spans="1:39" ht="15" customHeight="1">
      <c r="A137" s="35"/>
      <c r="B137" s="3" t="s">
        <v>475</v>
      </c>
      <c r="C137" s="3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8"/>
      <c r="Z137" s="278"/>
      <c r="AA137" s="278"/>
      <c r="AB137" s="1051"/>
      <c r="AC137" s="274"/>
      <c r="AD137" s="274"/>
      <c r="AE137" s="535"/>
      <c r="AF137" s="274"/>
      <c r="AG137" s="274"/>
      <c r="AH137" s="720"/>
      <c r="AI137" s="274"/>
      <c r="AJ137" s="274"/>
      <c r="AK137" s="293"/>
      <c r="AL137" s="1884"/>
      <c r="AM137" s="1611"/>
    </row>
    <row r="138" spans="1:39" ht="15" customHeight="1">
      <c r="A138" s="35"/>
      <c r="B138" s="3" t="s">
        <v>476</v>
      </c>
      <c r="C138" s="374"/>
      <c r="D138" s="13">
        <f>ROUND(SUM(D128:D136),1)</f>
        <v>3843.2</v>
      </c>
      <c r="E138" s="13"/>
      <c r="F138" s="13">
        <f>ROUND(SUM(F128:F136),1)</f>
        <v>3693</v>
      </c>
      <c r="G138" s="13"/>
      <c r="H138" s="13">
        <f>ROUND(SUM(H128:H136),1)</f>
        <v>3566.5</v>
      </c>
      <c r="I138" s="13"/>
      <c r="J138" s="13">
        <f>ROUND(SUM(J128:J135),1)</f>
        <v>2397.9</v>
      </c>
      <c r="K138" s="13"/>
      <c r="L138" s="13">
        <f>ROUND(SUM(L128:L135),1)</f>
        <v>1448.9</v>
      </c>
      <c r="M138" s="13"/>
      <c r="N138" s="13">
        <f>ROUND(SUM(N128:N135),1)</f>
        <v>4686.7</v>
      </c>
      <c r="O138" s="13"/>
      <c r="P138" s="13">
        <f>ROUND(SUM(P128:P135),1)</f>
        <v>290.7</v>
      </c>
      <c r="Q138" s="13"/>
      <c r="R138" s="13">
        <f>ROUND(SUM(R128:R135),1)</f>
        <v>1824</v>
      </c>
      <c r="S138" s="13"/>
      <c r="T138" s="13">
        <f>ROUND(SUM(T128:T135),1)</f>
        <v>5433.7</v>
      </c>
      <c r="U138" s="13"/>
      <c r="V138" s="13">
        <f>ROUND(SUM(V128:V135),1)</f>
        <v>5005.6000000000004</v>
      </c>
      <c r="W138" s="13"/>
      <c r="X138" s="13">
        <f>ROUND(SUM(X128:X135),1)</f>
        <v>1801</v>
      </c>
      <c r="Y138" s="40"/>
      <c r="Z138" s="13">
        <f>ROUND(SUM(Z128:Z135),1)</f>
        <v>0</v>
      </c>
      <c r="AA138" s="40"/>
      <c r="AB138" s="685"/>
      <c r="AC138" s="13">
        <f>ROUND(SUM(AC128:AC136),1)</f>
        <v>33991.199999999997</v>
      </c>
      <c r="AD138" s="13"/>
      <c r="AE138" s="683"/>
      <c r="AF138" s="13">
        <f>ROUND(SUM(AF128:AF136),1)</f>
        <v>32495.7</v>
      </c>
      <c r="AG138" s="13"/>
      <c r="AH138" s="721"/>
      <c r="AI138" s="367">
        <f>ROUND(SUM(+AC138-AF138),1)</f>
        <v>1495.5</v>
      </c>
      <c r="AJ138" s="13"/>
      <c r="AK138" s="625">
        <f>ROUND(SUM(+AI138/AF138),3)</f>
        <v>4.5999999999999999E-2</v>
      </c>
      <c r="AL138" s="1884"/>
      <c r="AM138" s="1611"/>
    </row>
    <row r="139" spans="1:39" ht="15" customHeight="1">
      <c r="A139" s="35"/>
      <c r="B139" s="301"/>
      <c r="C139" s="374"/>
      <c r="D139" s="629"/>
      <c r="E139" s="274"/>
      <c r="F139" s="629"/>
      <c r="G139" s="274"/>
      <c r="H139" s="629"/>
      <c r="I139" s="274"/>
      <c r="J139" s="629"/>
      <c r="K139" s="274"/>
      <c r="L139" s="629"/>
      <c r="M139" s="274"/>
      <c r="N139" s="629"/>
      <c r="O139" s="274"/>
      <c r="P139" s="629"/>
      <c r="Q139" s="274"/>
      <c r="R139" s="629"/>
      <c r="S139" s="274"/>
      <c r="T139" s="629"/>
      <c r="U139" s="274"/>
      <c r="V139" s="629"/>
      <c r="W139" s="274"/>
      <c r="X139" s="629"/>
      <c r="Y139" s="278"/>
      <c r="Z139" s="1057"/>
      <c r="AA139" s="278"/>
      <c r="AB139" s="1051"/>
      <c r="AC139" s="629"/>
      <c r="AD139" s="274"/>
      <c r="AE139" s="535"/>
      <c r="AF139" s="629"/>
      <c r="AG139" s="274"/>
      <c r="AH139" s="720"/>
      <c r="AI139" s="433"/>
      <c r="AJ139" s="433"/>
      <c r="AK139" s="338"/>
      <c r="AL139" s="1884"/>
      <c r="AM139" s="1611"/>
    </row>
    <row r="140" spans="1:39" ht="15" customHeight="1">
      <c r="A140" s="35"/>
      <c r="B140" s="3" t="s">
        <v>477</v>
      </c>
      <c r="C140" s="3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8"/>
      <c r="Z140" s="278"/>
      <c r="AA140" s="278"/>
      <c r="AB140" s="1051"/>
      <c r="AC140" s="274"/>
      <c r="AD140" s="274"/>
      <c r="AE140" s="535"/>
      <c r="AF140" s="274"/>
      <c r="AG140" s="274"/>
      <c r="AH140" s="720"/>
      <c r="AI140" s="433"/>
      <c r="AJ140" s="433"/>
      <c r="AK140" s="338"/>
      <c r="AL140" s="1884"/>
      <c r="AM140" s="1611"/>
    </row>
    <row r="141" spans="1:39" ht="15" customHeight="1">
      <c r="A141" s="35"/>
      <c r="B141" s="3" t="s">
        <v>478</v>
      </c>
      <c r="C141" s="3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8"/>
      <c r="Z141" s="278"/>
      <c r="AA141" s="278"/>
      <c r="AB141" s="1051"/>
      <c r="AC141" s="274"/>
      <c r="AD141" s="274"/>
      <c r="AE141" s="535"/>
      <c r="AF141" s="274"/>
      <c r="AG141" s="274"/>
      <c r="AH141" s="720"/>
      <c r="AI141" s="433"/>
      <c r="AJ141" s="433"/>
      <c r="AK141" s="338"/>
      <c r="AL141" s="1884"/>
      <c r="AM141" s="1611"/>
    </row>
    <row r="142" spans="1:39" ht="15" customHeight="1">
      <c r="A142" s="35"/>
      <c r="B142" s="3" t="s">
        <v>479</v>
      </c>
      <c r="C142" s="374"/>
      <c r="D142" s="13">
        <f>ROUND(SUM(D124+D138),1)</f>
        <v>2724.1</v>
      </c>
      <c r="E142" s="13"/>
      <c r="F142" s="13">
        <f>ROUND(SUM(F124+F138),1)</f>
        <v>-3507.2</v>
      </c>
      <c r="G142" s="13"/>
      <c r="H142" s="13">
        <f>ROUND(SUM(H124+H138),1)</f>
        <v>4037.1</v>
      </c>
      <c r="I142" s="13"/>
      <c r="J142" s="13">
        <f>ROUND(SUM(J124+J138),1)</f>
        <v>-874.9</v>
      </c>
      <c r="K142" s="13"/>
      <c r="L142" s="13">
        <f>ROUND(SUM(L124+L138),1)</f>
        <v>-782.7</v>
      </c>
      <c r="M142" s="13"/>
      <c r="N142" s="13">
        <f>ROUND(SUM(N124+N138),1)</f>
        <v>4470.3999999999996</v>
      </c>
      <c r="O142" s="13"/>
      <c r="P142" s="13">
        <f>ROUND(SUM(P124+P138),1)</f>
        <v>-5532.8</v>
      </c>
      <c r="Q142" s="13"/>
      <c r="R142" s="13">
        <f>ROUND(SUM(R124+R138),1)</f>
        <v>-1311.2</v>
      </c>
      <c r="S142" s="274"/>
      <c r="T142" s="13">
        <f>ROUND(SUM(T124+T138),1)</f>
        <v>9690.2999999999993</v>
      </c>
      <c r="U142" s="274"/>
      <c r="V142" s="13">
        <f>ROUND(SUM(V124+V138),1)</f>
        <v>2854.6</v>
      </c>
      <c r="W142" s="274"/>
      <c r="X142" s="13">
        <f>ROUND(SUM(X124+X138),1)</f>
        <v>-1147.0999999999999</v>
      </c>
      <c r="Y142" s="278"/>
      <c r="Z142" s="367">
        <f>ROUND(SUM(Z124+Z138),1)</f>
        <v>0</v>
      </c>
      <c r="AA142" s="278"/>
      <c r="AB142" s="1051"/>
      <c r="AC142" s="13">
        <f>ROUND(SUM(AC124+AC138),1)</f>
        <v>10620.6</v>
      </c>
      <c r="AD142" s="13"/>
      <c r="AE142" s="683"/>
      <c r="AF142" s="13">
        <f>ROUND(SUM(AF124+AF138),1)</f>
        <v>7954.4</v>
      </c>
      <c r="AG142" s="13"/>
      <c r="AH142" s="721"/>
      <c r="AI142" s="367">
        <f>ROUND(SUM(+AC142-AF142),1)</f>
        <v>2666.2</v>
      </c>
      <c r="AJ142" s="726"/>
      <c r="AK142" s="625">
        <f>ROUND(SUM(AI142/ABS(AF142)),3)</f>
        <v>0.33500000000000002</v>
      </c>
      <c r="AL142" s="1884"/>
      <c r="AM142" s="1611"/>
    </row>
    <row r="143" spans="1:39" ht="9" customHeight="1">
      <c r="A143" s="35"/>
      <c r="B143" s="301"/>
      <c r="C143" s="374"/>
      <c r="D143" s="1057"/>
      <c r="E143" s="301"/>
      <c r="F143" s="1142"/>
      <c r="G143" s="301"/>
      <c r="H143" s="1015"/>
      <c r="I143" s="301"/>
      <c r="J143" s="629"/>
      <c r="K143" s="301"/>
      <c r="L143" s="1015"/>
      <c r="M143" s="301"/>
      <c r="N143" s="1015"/>
      <c r="O143" s="301"/>
      <c r="P143" s="1015"/>
      <c r="Q143" s="301"/>
      <c r="R143" s="1015"/>
      <c r="S143" s="301"/>
      <c r="T143" s="1015"/>
      <c r="U143" s="301"/>
      <c r="V143" s="1015"/>
      <c r="W143" s="301"/>
      <c r="X143" s="1015"/>
      <c r="Y143" s="301"/>
      <c r="Z143" s="374"/>
      <c r="AA143" s="374"/>
      <c r="AB143" s="1051"/>
      <c r="AC143" s="629"/>
      <c r="AD143" s="274"/>
      <c r="AE143" s="535"/>
      <c r="AF143" s="629"/>
      <c r="AG143" s="274"/>
      <c r="AH143" s="720"/>
      <c r="AI143" s="629"/>
      <c r="AJ143" s="433"/>
      <c r="AK143" s="1058"/>
      <c r="AL143" s="1884"/>
      <c r="AM143" s="1611"/>
    </row>
    <row r="144" spans="1:39" ht="15" customHeight="1" thickBot="1">
      <c r="A144" s="35"/>
      <c r="B144" s="1248" t="s">
        <v>441</v>
      </c>
      <c r="C144" s="374"/>
      <c r="D144" s="74">
        <f>ROUND(SUM(D13+D142),1)</f>
        <v>49055</v>
      </c>
      <c r="E144" s="45"/>
      <c r="F144" s="74">
        <f>ROUND(SUM(F13+F142),1)</f>
        <v>45547.8</v>
      </c>
      <c r="G144" s="45"/>
      <c r="H144" s="74">
        <f>ROUND(SUM(H13+H142),1)</f>
        <v>49584.9</v>
      </c>
      <c r="I144" s="45"/>
      <c r="J144" s="74">
        <f>ROUND(SUM(J13+J142),1)</f>
        <v>48710</v>
      </c>
      <c r="K144" s="45"/>
      <c r="L144" s="74">
        <f>ROUND(SUM(L13+L142),1)</f>
        <v>47927.3</v>
      </c>
      <c r="M144" s="45"/>
      <c r="N144" s="74">
        <f>ROUND(SUM(N13+N142),1)</f>
        <v>52397.7</v>
      </c>
      <c r="O144" s="45"/>
      <c r="P144" s="74">
        <f>ROUND(SUM(P13+P142),1)</f>
        <v>46864.9</v>
      </c>
      <c r="Q144" s="45"/>
      <c r="R144" s="74">
        <f>ROUND(SUM(R13+R142),1)</f>
        <v>45553.7</v>
      </c>
      <c r="S144" s="45"/>
      <c r="T144" s="74">
        <f>ROUND(SUM(T13+T142),1)</f>
        <v>55244</v>
      </c>
      <c r="U144" s="45"/>
      <c r="V144" s="74">
        <f>ROUND(SUM(V13+V142),1)</f>
        <v>58098.6</v>
      </c>
      <c r="W144" s="45"/>
      <c r="X144" s="74">
        <f>ROUND(SUM(X13+X142),1)</f>
        <v>56951.5</v>
      </c>
      <c r="Y144" s="45"/>
      <c r="Z144" s="74">
        <f>ROUND(SUM(Z13+Z142),1)</f>
        <v>0</v>
      </c>
      <c r="AA144" s="45"/>
      <c r="AB144" s="727"/>
      <c r="AC144" s="74">
        <f>ROUND(SUM(AC13+AC142),1)</f>
        <v>56951.5</v>
      </c>
      <c r="AD144" s="13"/>
      <c r="AE144" s="683"/>
      <c r="AF144" s="74">
        <f>ROUND(SUM(AF13+AF142),1)</f>
        <v>51405</v>
      </c>
      <c r="AG144" s="45"/>
      <c r="AH144" s="718"/>
      <c r="AI144" s="74">
        <f>ROUND(SUM(+AC144-AF144),1)</f>
        <v>5546.5</v>
      </c>
      <c r="AJ144" s="726"/>
      <c r="AK144" s="81">
        <f>ROUND(SUM(+AI144/AF144),3)</f>
        <v>0.108</v>
      </c>
      <c r="AL144" s="1884"/>
      <c r="AM144" s="1611"/>
    </row>
    <row r="145" spans="1:37" ht="15" customHeight="1" thickTop="1">
      <c r="A145" s="35"/>
      <c r="B145" s="301"/>
      <c r="C145" s="374"/>
      <c r="D145" s="374"/>
      <c r="E145" s="301"/>
      <c r="F145" s="395"/>
      <c r="G145" s="301"/>
      <c r="H145" s="374"/>
      <c r="I145" s="301"/>
      <c r="J145" s="274"/>
      <c r="K145" s="301"/>
      <c r="L145" s="374"/>
      <c r="M145" s="301"/>
      <c r="N145" s="374"/>
      <c r="O145" s="301"/>
      <c r="P145" s="374"/>
      <c r="Q145" s="301"/>
      <c r="R145" s="374"/>
      <c r="S145" s="301"/>
      <c r="T145" s="374"/>
      <c r="U145" s="301"/>
      <c r="V145" s="374"/>
      <c r="W145" s="301"/>
      <c r="X145" s="374"/>
      <c r="Y145" s="301"/>
      <c r="Z145" s="374"/>
      <c r="AA145" s="374"/>
      <c r="AB145" s="301"/>
      <c r="AC145" s="274"/>
      <c r="AD145" s="274"/>
      <c r="AE145" s="274"/>
      <c r="AF145" s="274"/>
      <c r="AG145" s="274"/>
      <c r="AH145" s="712"/>
      <c r="AI145" s="433"/>
      <c r="AJ145" s="433"/>
      <c r="AK145" s="338"/>
    </row>
    <row r="146" spans="1:37" ht="15" customHeight="1">
      <c r="A146" s="35"/>
      <c r="B146" s="301" t="s">
        <v>103</v>
      </c>
      <c r="C146" s="374"/>
      <c r="D146" s="374"/>
      <c r="E146" s="301"/>
      <c r="F146" s="395"/>
      <c r="G146" s="301"/>
      <c r="H146" s="374"/>
      <c r="I146" s="301"/>
      <c r="J146" s="274"/>
      <c r="K146" s="301"/>
      <c r="L146" s="374"/>
      <c r="M146" s="301"/>
      <c r="N146" s="374"/>
      <c r="O146" s="301"/>
      <c r="P146" s="374"/>
      <c r="Q146" s="301"/>
      <c r="R146" s="374"/>
      <c r="S146" s="301"/>
      <c r="T146" s="374"/>
      <c r="U146" s="301"/>
      <c r="V146" s="374"/>
      <c r="W146" s="301"/>
      <c r="X146" s="374"/>
      <c r="Y146" s="301"/>
      <c r="Z146" s="374"/>
      <c r="AA146" s="374"/>
      <c r="AB146" s="301"/>
      <c r="AC146" s="523" t="s">
        <v>103</v>
      </c>
      <c r="AD146" s="274"/>
      <c r="AE146" s="274"/>
      <c r="AF146" s="274"/>
      <c r="AG146" s="274"/>
      <c r="AH146" s="712"/>
      <c r="AI146" s="433"/>
      <c r="AJ146" s="433"/>
      <c r="AK146" s="338"/>
    </row>
    <row r="147" spans="1:37" ht="15" customHeight="1">
      <c r="A147" s="35"/>
      <c r="B147" s="301"/>
      <c r="C147" s="374"/>
      <c r="D147" s="374"/>
      <c r="E147" s="301"/>
      <c r="F147" s="395"/>
      <c r="G147" s="301"/>
      <c r="H147" s="374"/>
      <c r="I147" s="301"/>
      <c r="J147" s="274"/>
      <c r="K147" s="301"/>
      <c r="L147" s="374"/>
      <c r="M147" s="301"/>
      <c r="N147" s="374"/>
      <c r="O147" s="301"/>
      <c r="P147" s="374"/>
      <c r="Q147" s="301"/>
      <c r="R147" s="374"/>
      <c r="S147" s="301"/>
      <c r="T147" s="374"/>
      <c r="U147" s="301"/>
      <c r="V147" s="374"/>
      <c r="W147" s="301"/>
      <c r="X147" s="374"/>
      <c r="Y147" s="301"/>
      <c r="Z147" s="374"/>
      <c r="AA147" s="374"/>
      <c r="AB147" s="301"/>
      <c r="AC147" s="523"/>
      <c r="AD147" s="274"/>
      <c r="AE147" s="274"/>
      <c r="AF147" s="274"/>
      <c r="AG147" s="274"/>
      <c r="AH147" s="712"/>
      <c r="AI147" s="433"/>
      <c r="AJ147" s="433"/>
      <c r="AK147" s="338"/>
    </row>
    <row r="148" spans="1:37" ht="15" customHeight="1">
      <c r="A148" s="67"/>
      <c r="B148" s="360"/>
      <c r="C148" s="728"/>
      <c r="D148" s="728"/>
      <c r="E148" s="1144"/>
      <c r="F148" s="1144"/>
      <c r="G148" s="1144"/>
      <c r="H148" s="374"/>
      <c r="I148" s="374"/>
      <c r="J148" s="274"/>
      <c r="K148" s="374"/>
      <c r="L148" s="374"/>
      <c r="M148" s="374"/>
      <c r="N148" s="374"/>
      <c r="O148" s="374"/>
      <c r="P148" s="374"/>
      <c r="Q148" s="374"/>
      <c r="R148" s="374"/>
      <c r="S148" s="374"/>
      <c r="T148" s="374"/>
      <c r="U148" s="374"/>
      <c r="V148" s="374"/>
      <c r="W148" s="374"/>
      <c r="X148" s="374"/>
      <c r="Y148" s="374"/>
      <c r="Z148" s="374"/>
      <c r="AA148" s="374"/>
      <c r="AB148" s="374"/>
      <c r="AC148" s="523"/>
      <c r="AD148" s="274"/>
      <c r="AE148" s="274"/>
      <c r="AF148" s="274"/>
      <c r="AG148" s="274"/>
      <c r="AH148" s="274"/>
      <c r="AI148" s="274"/>
      <c r="AJ148" s="274"/>
      <c r="AK148" s="293"/>
    </row>
    <row r="149" spans="1:37" ht="14.15" customHeight="1">
      <c r="A149" s="67"/>
      <c r="B149" s="360"/>
      <c r="C149" s="728"/>
      <c r="D149" s="728"/>
      <c r="E149" s="1144"/>
      <c r="F149" s="1144"/>
      <c r="G149" s="1144"/>
      <c r="H149" s="374"/>
      <c r="I149" s="374"/>
      <c r="J149" s="274"/>
      <c r="K149" s="374"/>
      <c r="L149" s="374"/>
      <c r="M149" s="374"/>
      <c r="N149" s="374"/>
      <c r="O149" s="374"/>
      <c r="P149" s="374"/>
      <c r="Q149" s="374"/>
      <c r="R149" s="374"/>
      <c r="S149" s="374"/>
      <c r="T149" s="374"/>
      <c r="U149" s="374"/>
      <c r="V149" s="374"/>
      <c r="W149" s="374"/>
      <c r="X149" s="374"/>
      <c r="Y149" s="374"/>
      <c r="Z149" s="374"/>
      <c r="AA149" s="374"/>
      <c r="AB149" s="374"/>
      <c r="AC149" s="523"/>
      <c r="AD149" s="274"/>
      <c r="AE149" s="274"/>
      <c r="AF149" s="274"/>
      <c r="AG149" s="274"/>
      <c r="AH149" s="274"/>
      <c r="AI149" s="274"/>
      <c r="AJ149" s="274"/>
      <c r="AK149" s="293"/>
    </row>
    <row r="150" spans="1:37" ht="15" customHeight="1">
      <c r="A150" s="67"/>
      <c r="B150" s="360"/>
      <c r="C150" s="728"/>
      <c r="D150" s="728"/>
      <c r="E150" s="1144"/>
      <c r="F150" s="1144"/>
      <c r="G150" s="1144"/>
      <c r="H150" s="374"/>
      <c r="I150" s="374"/>
      <c r="J150" s="274"/>
      <c r="K150" s="374"/>
      <c r="L150" s="374"/>
      <c r="M150" s="374"/>
      <c r="N150" s="374"/>
      <c r="O150" s="374"/>
      <c r="P150" s="374"/>
      <c r="Q150" s="374"/>
      <c r="R150" s="374"/>
      <c r="S150" s="374"/>
      <c r="T150" s="374"/>
      <c r="U150" s="374"/>
      <c r="V150" s="374"/>
      <c r="W150" s="374"/>
      <c r="X150" s="374"/>
      <c r="Y150" s="374"/>
      <c r="Z150" s="374"/>
      <c r="AA150" s="374"/>
      <c r="AB150" s="374"/>
      <c r="AC150" s="523" t="s">
        <v>103</v>
      </c>
      <c r="AD150" s="274"/>
      <c r="AE150" s="274"/>
      <c r="AF150" s="274" t="s">
        <v>275</v>
      </c>
      <c r="AG150" s="274"/>
      <c r="AH150" s="274"/>
      <c r="AI150" s="274"/>
      <c r="AJ150" s="274"/>
      <c r="AK150" s="293"/>
    </row>
    <row r="151" spans="1:37" ht="15.75" customHeight="1">
      <c r="A151" s="67"/>
      <c r="B151" s="360"/>
      <c r="C151" s="728"/>
      <c r="D151" s="728"/>
      <c r="E151" s="1144"/>
      <c r="F151" s="1144"/>
      <c r="G151" s="1144"/>
      <c r="H151" s="374"/>
      <c r="I151" s="374"/>
      <c r="J151" s="274"/>
      <c r="K151" s="374"/>
      <c r="L151" s="374"/>
      <c r="M151" s="374"/>
      <c r="N151" s="374"/>
      <c r="O151" s="374"/>
      <c r="P151" s="374"/>
      <c r="Q151" s="374"/>
      <c r="R151" s="374"/>
      <c r="S151" s="374"/>
      <c r="T151" s="374"/>
      <c r="U151" s="374"/>
      <c r="V151" s="374"/>
      <c r="W151" s="374"/>
      <c r="X151" s="374"/>
      <c r="Y151" s="374"/>
      <c r="Z151" s="374"/>
      <c r="AA151" s="374"/>
      <c r="AB151" s="374"/>
      <c r="AC151" s="523" t="s">
        <v>103</v>
      </c>
      <c r="AD151" s="274"/>
      <c r="AE151" s="274"/>
      <c r="AF151" s="274" t="s">
        <v>103</v>
      </c>
      <c r="AG151" s="274"/>
      <c r="AH151" s="274"/>
      <c r="AI151" s="274"/>
      <c r="AJ151" s="274"/>
      <c r="AK151" s="293"/>
    </row>
    <row r="152" spans="1:37" ht="14.25" customHeight="1">
      <c r="A152" s="67"/>
      <c r="B152" s="360"/>
      <c r="C152" s="728"/>
      <c r="D152" s="728"/>
      <c r="E152" s="1144"/>
      <c r="F152" s="1144"/>
      <c r="G152" s="1144"/>
      <c r="H152" s="374"/>
      <c r="I152" s="374"/>
      <c r="J152" s="274"/>
      <c r="K152" s="374"/>
      <c r="L152" s="374"/>
      <c r="M152" s="374"/>
      <c r="N152" s="374"/>
      <c r="O152" s="374"/>
      <c r="P152" s="374"/>
      <c r="Q152" s="374"/>
      <c r="R152" s="374"/>
      <c r="S152" s="374"/>
      <c r="T152" s="374"/>
      <c r="U152" s="374"/>
      <c r="V152" s="374"/>
      <c r="W152" s="374"/>
      <c r="X152" s="374"/>
      <c r="Y152" s="374"/>
      <c r="Z152" s="374"/>
      <c r="AA152" s="374"/>
      <c r="AB152" s="374"/>
      <c r="AC152" s="274"/>
      <c r="AD152" s="274"/>
      <c r="AE152" s="274"/>
      <c r="AF152" s="274"/>
      <c r="AG152" s="274"/>
      <c r="AH152" s="274"/>
      <c r="AI152" s="274"/>
      <c r="AJ152" s="274"/>
      <c r="AK152" s="293"/>
    </row>
    <row r="153" spans="1:37" ht="14.25" customHeight="1">
      <c r="A153" s="67"/>
      <c r="B153" s="360"/>
      <c r="C153" s="728"/>
      <c r="D153" s="728"/>
      <c r="E153" s="1144"/>
      <c r="F153" s="1144"/>
      <c r="G153" s="1144"/>
      <c r="H153" s="374"/>
      <c r="I153" s="374"/>
      <c r="J153" s="274"/>
      <c r="K153" s="374"/>
      <c r="L153" s="374"/>
      <c r="M153" s="374"/>
      <c r="N153" s="374"/>
      <c r="O153" s="374"/>
      <c r="P153" s="374"/>
      <c r="Q153" s="374"/>
      <c r="R153" s="374"/>
      <c r="S153" s="374"/>
      <c r="T153" s="374"/>
      <c r="U153" s="374"/>
      <c r="V153" s="374"/>
      <c r="W153" s="374"/>
      <c r="X153" s="374"/>
      <c r="Y153" s="374"/>
      <c r="Z153" s="374"/>
      <c r="AA153" s="374"/>
      <c r="AB153" s="374"/>
      <c r="AC153" s="274"/>
      <c r="AD153" s="274"/>
      <c r="AE153" s="274"/>
      <c r="AF153" s="274"/>
      <c r="AG153" s="274"/>
      <c r="AH153" s="274"/>
      <c r="AI153" s="274"/>
      <c r="AJ153" s="274"/>
      <c r="AK153" s="293"/>
    </row>
    <row r="154" spans="1:37" ht="14.25" customHeight="1">
      <c r="A154" s="67"/>
      <c r="B154" s="360"/>
      <c r="C154" s="728"/>
      <c r="D154" s="728"/>
      <c r="E154" s="1144"/>
      <c r="F154" s="1144"/>
      <c r="G154" s="1144"/>
      <c r="H154" s="374"/>
      <c r="I154" s="374"/>
      <c r="J154" s="274"/>
      <c r="K154" s="374"/>
      <c r="L154" s="374"/>
      <c r="M154" s="374"/>
      <c r="N154" s="374"/>
      <c r="O154" s="374"/>
      <c r="P154" s="374"/>
      <c r="Q154" s="374"/>
      <c r="R154" s="374"/>
      <c r="S154" s="374"/>
      <c r="T154" s="374"/>
      <c r="U154" s="374"/>
      <c r="V154" s="374"/>
      <c r="W154" s="374"/>
      <c r="X154" s="374"/>
      <c r="Y154" s="374"/>
      <c r="Z154" s="374"/>
      <c r="AA154" s="374"/>
      <c r="AB154" s="374"/>
      <c r="AC154" s="274"/>
      <c r="AD154" s="274"/>
      <c r="AE154" s="274"/>
      <c r="AF154" s="274"/>
      <c r="AG154" s="274"/>
      <c r="AH154" s="274"/>
      <c r="AI154" s="274"/>
      <c r="AJ154" s="274"/>
      <c r="AK154" s="293"/>
    </row>
    <row r="155" spans="1:37" ht="14.25" customHeight="1">
      <c r="A155" s="67"/>
      <c r="B155" s="360"/>
      <c r="C155" s="728"/>
      <c r="D155" s="728"/>
      <c r="E155" s="1144"/>
      <c r="F155" s="1144"/>
      <c r="G155" s="1144"/>
      <c r="H155" s="374"/>
      <c r="I155" s="374"/>
      <c r="J155" s="274"/>
      <c r="K155" s="374"/>
      <c r="L155" s="374"/>
      <c r="M155" s="374"/>
      <c r="N155" s="374"/>
      <c r="O155" s="374"/>
      <c r="P155" s="374"/>
      <c r="Q155" s="374"/>
      <c r="R155" s="374"/>
      <c r="S155" s="374"/>
      <c r="T155" s="374"/>
      <c r="U155" s="374"/>
      <c r="V155" s="374"/>
      <c r="W155" s="374"/>
      <c r="X155" s="374"/>
      <c r="Y155" s="374"/>
      <c r="Z155" s="374"/>
      <c r="AA155" s="374"/>
      <c r="AB155" s="374"/>
      <c r="AC155" s="274"/>
      <c r="AD155" s="274"/>
      <c r="AE155" s="274"/>
      <c r="AF155" s="274"/>
      <c r="AG155" s="274"/>
      <c r="AH155" s="274"/>
      <c r="AI155" s="274"/>
      <c r="AJ155" s="274"/>
      <c r="AK155" s="293"/>
    </row>
    <row r="156" spans="1:37" ht="14.25" customHeight="1">
      <c r="A156" s="67"/>
      <c r="B156" s="360"/>
      <c r="C156" s="728"/>
      <c r="D156" s="728"/>
      <c r="E156" s="1144"/>
      <c r="F156" s="1144"/>
      <c r="G156" s="1144"/>
      <c r="H156" s="374"/>
      <c r="I156" s="374"/>
      <c r="J156" s="274"/>
      <c r="K156" s="374"/>
      <c r="L156" s="374"/>
      <c r="M156" s="374"/>
      <c r="N156" s="374"/>
      <c r="O156" s="374"/>
      <c r="P156" s="374"/>
      <c r="Q156" s="374"/>
      <c r="R156" s="374"/>
      <c r="S156" s="374"/>
      <c r="T156" s="374"/>
      <c r="U156" s="374"/>
      <c r="V156" s="374"/>
      <c r="W156" s="374"/>
      <c r="X156" s="374"/>
      <c r="Y156" s="374"/>
      <c r="Z156" s="374"/>
      <c r="AA156" s="374"/>
      <c r="AB156" s="374"/>
      <c r="AC156" s="274"/>
      <c r="AD156" s="274"/>
      <c r="AE156" s="274"/>
      <c r="AF156" s="274"/>
      <c r="AG156" s="274"/>
      <c r="AH156" s="274"/>
      <c r="AI156" s="274"/>
      <c r="AJ156" s="274"/>
      <c r="AK156" s="293"/>
    </row>
    <row r="157" spans="1:37" ht="14.25" customHeight="1">
      <c r="A157" s="67"/>
      <c r="B157" s="360"/>
      <c r="C157" s="728"/>
      <c r="D157" s="728"/>
      <c r="E157" s="1144"/>
      <c r="F157" s="1144"/>
      <c r="G157" s="1144"/>
      <c r="H157" s="374"/>
      <c r="I157" s="374"/>
      <c r="J157" s="274"/>
      <c r="K157" s="374"/>
      <c r="L157" s="374"/>
      <c r="M157" s="374"/>
      <c r="N157" s="374"/>
      <c r="O157" s="374"/>
      <c r="P157" s="374"/>
      <c r="Q157" s="374"/>
      <c r="R157" s="374"/>
      <c r="S157" s="374"/>
      <c r="T157" s="374"/>
      <c r="U157" s="374"/>
      <c r="V157" s="374"/>
      <c r="W157" s="374"/>
      <c r="X157" s="374"/>
      <c r="Y157" s="374"/>
      <c r="Z157" s="374"/>
      <c r="AA157" s="374"/>
      <c r="AB157" s="374"/>
      <c r="AC157" s="274"/>
      <c r="AD157" s="274"/>
      <c r="AE157" s="274"/>
      <c r="AF157" s="274"/>
      <c r="AG157" s="274"/>
      <c r="AH157" s="274"/>
      <c r="AI157" s="274"/>
      <c r="AJ157" s="274"/>
      <c r="AK157" s="293"/>
    </row>
    <row r="158" spans="1:37" ht="14.25" customHeight="1">
      <c r="A158" s="67"/>
      <c r="B158" s="360"/>
      <c r="C158" s="728"/>
      <c r="D158" s="728"/>
      <c r="E158" s="1144"/>
      <c r="F158" s="1144"/>
      <c r="G158" s="1144"/>
      <c r="H158" s="374"/>
      <c r="I158" s="374"/>
      <c r="J158" s="274"/>
      <c r="K158" s="374"/>
      <c r="L158" s="374"/>
      <c r="M158" s="374"/>
      <c r="N158" s="374"/>
      <c r="O158" s="374"/>
      <c r="P158" s="374"/>
      <c r="Q158" s="374"/>
      <c r="R158" s="374"/>
      <c r="S158" s="374"/>
      <c r="T158" s="374"/>
      <c r="U158" s="374"/>
      <c r="V158" s="374"/>
      <c r="W158" s="374"/>
      <c r="X158" s="374"/>
      <c r="Y158" s="374"/>
      <c r="Z158" s="374"/>
      <c r="AA158" s="374"/>
      <c r="AB158" s="374"/>
      <c r="AC158" s="274"/>
      <c r="AD158" s="274"/>
      <c r="AE158" s="274"/>
      <c r="AF158" s="274"/>
      <c r="AG158" s="274"/>
      <c r="AH158" s="274"/>
      <c r="AI158" s="274"/>
      <c r="AJ158" s="274"/>
      <c r="AK158" s="293"/>
    </row>
    <row r="159" spans="1:37" ht="14.25" customHeight="1">
      <c r="A159" s="67"/>
      <c r="B159" s="360"/>
      <c r="C159" s="728"/>
      <c r="D159" s="728"/>
      <c r="E159" s="1144"/>
      <c r="F159" s="1144"/>
      <c r="G159" s="1144"/>
      <c r="H159" s="374"/>
      <c r="I159" s="374"/>
      <c r="J159" s="2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4"/>
      <c r="AG159" s="374"/>
      <c r="AH159" s="374"/>
      <c r="AI159" s="374"/>
      <c r="AJ159" s="374"/>
      <c r="AK159" s="293"/>
    </row>
    <row r="160" spans="1:37" ht="14.25" customHeight="1">
      <c r="A160" s="67"/>
      <c r="B160" s="360"/>
      <c r="C160" s="728"/>
      <c r="D160" s="728"/>
      <c r="E160" s="1144"/>
      <c r="F160" s="1144"/>
      <c r="G160" s="1144"/>
      <c r="H160" s="374"/>
      <c r="I160" s="374"/>
      <c r="J160" s="274"/>
      <c r="K160" s="374"/>
      <c r="L160" s="374"/>
      <c r="M160" s="374"/>
      <c r="N160" s="374"/>
      <c r="O160" s="374"/>
      <c r="P160" s="374"/>
      <c r="Q160" s="374"/>
      <c r="R160" s="374"/>
      <c r="S160" s="374"/>
      <c r="T160" s="374"/>
      <c r="U160" s="374"/>
      <c r="V160" s="374"/>
      <c r="W160" s="374"/>
      <c r="X160" s="374"/>
      <c r="Y160" s="374"/>
      <c r="Z160" s="374"/>
      <c r="AA160" s="374"/>
      <c r="AB160" s="374"/>
      <c r="AC160" s="374"/>
      <c r="AD160" s="374"/>
      <c r="AE160" s="374"/>
      <c r="AF160" s="374"/>
      <c r="AG160" s="374"/>
      <c r="AH160" s="374"/>
      <c r="AI160" s="374"/>
      <c r="AJ160" s="374"/>
      <c r="AK160" s="293"/>
    </row>
    <row r="161" spans="1:38" ht="14.25" customHeight="1">
      <c r="A161" s="67"/>
      <c r="B161" s="360"/>
      <c r="C161" s="728"/>
      <c r="D161" s="728"/>
      <c r="E161" s="1144"/>
      <c r="F161" s="1144"/>
      <c r="G161" s="1144"/>
      <c r="H161" s="374"/>
      <c r="I161" s="374"/>
      <c r="J161" s="274"/>
      <c r="K161" s="374"/>
      <c r="L161" s="374"/>
      <c r="M161" s="374"/>
      <c r="N161" s="374"/>
      <c r="O161" s="374"/>
      <c r="P161" s="374"/>
      <c r="Q161" s="374"/>
      <c r="R161" s="374"/>
      <c r="S161" s="374"/>
      <c r="T161" s="374"/>
      <c r="U161" s="374"/>
      <c r="V161" s="374"/>
      <c r="W161" s="374"/>
      <c r="X161" s="374"/>
      <c r="Y161" s="374"/>
      <c r="Z161" s="374"/>
      <c r="AA161" s="374"/>
      <c r="AB161" s="374"/>
      <c r="AC161" s="374"/>
      <c r="AD161" s="374"/>
      <c r="AE161" s="374"/>
      <c r="AF161" s="374"/>
      <c r="AG161" s="374"/>
      <c r="AH161" s="374"/>
      <c r="AI161" s="374"/>
      <c r="AJ161" s="374"/>
      <c r="AK161" s="293"/>
    </row>
    <row r="162" spans="1:38" ht="14.25" customHeight="1">
      <c r="A162" s="67"/>
      <c r="B162" s="360"/>
      <c r="C162" s="728"/>
      <c r="D162" s="728"/>
      <c r="E162" s="1144"/>
      <c r="F162" s="1144"/>
      <c r="G162" s="1144"/>
      <c r="H162" s="374"/>
      <c r="I162" s="374"/>
      <c r="J162" s="274"/>
      <c r="K162" s="374"/>
      <c r="L162" s="374"/>
      <c r="M162" s="374"/>
      <c r="N162" s="374"/>
      <c r="O162" s="374"/>
      <c r="P162" s="374"/>
      <c r="Q162" s="374"/>
      <c r="R162" s="374"/>
      <c r="S162" s="374"/>
      <c r="T162" s="374"/>
      <c r="U162" s="374"/>
      <c r="V162" s="374"/>
      <c r="W162" s="374"/>
      <c r="X162" s="374"/>
      <c r="Y162" s="374"/>
      <c r="Z162" s="374"/>
      <c r="AA162" s="374"/>
      <c r="AB162" s="374"/>
      <c r="AC162" s="374"/>
      <c r="AD162" s="374"/>
      <c r="AE162" s="374"/>
      <c r="AF162" s="374"/>
      <c r="AG162" s="374"/>
      <c r="AH162" s="374"/>
      <c r="AI162" s="374"/>
      <c r="AJ162" s="374"/>
      <c r="AK162" s="293"/>
    </row>
    <row r="163" spans="1:38" ht="14.25" customHeight="1">
      <c r="A163" s="67"/>
      <c r="B163" s="360"/>
      <c r="C163" s="728"/>
      <c r="D163" s="728"/>
      <c r="E163" s="1144"/>
      <c r="F163" s="1144"/>
      <c r="G163" s="1144"/>
      <c r="H163" s="374"/>
      <c r="I163" s="374"/>
      <c r="J163" s="274"/>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293"/>
    </row>
    <row r="164" spans="1:38" ht="14.25" customHeight="1">
      <c r="A164" s="67"/>
      <c r="B164" s="360"/>
      <c r="C164" s="728"/>
      <c r="D164" s="728"/>
      <c r="E164" s="1144"/>
      <c r="F164" s="1144"/>
      <c r="G164" s="1144"/>
      <c r="H164" s="374"/>
      <c r="I164" s="374"/>
      <c r="J164" s="274"/>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c r="AK164" s="293"/>
    </row>
    <row r="165" spans="1:38" ht="14.25" customHeight="1">
      <c r="A165" s="67"/>
      <c r="B165" s="360"/>
      <c r="C165" s="728"/>
      <c r="D165" s="728"/>
      <c r="E165" s="1144"/>
      <c r="F165" s="1144"/>
      <c r="G165" s="1144"/>
      <c r="H165" s="374"/>
      <c r="I165" s="374"/>
      <c r="J165" s="274"/>
      <c r="K165" s="374"/>
      <c r="L165" s="374"/>
      <c r="M165" s="374"/>
      <c r="N165" s="374"/>
      <c r="O165" s="374"/>
      <c r="P165" s="374"/>
      <c r="Q165" s="374"/>
      <c r="R165" s="374"/>
      <c r="S165" s="374"/>
      <c r="T165" s="374"/>
      <c r="U165" s="374"/>
      <c r="V165" s="374"/>
      <c r="W165" s="374"/>
      <c r="X165" s="374"/>
      <c r="Y165" s="374"/>
      <c r="Z165" s="374"/>
      <c r="AA165" s="374"/>
      <c r="AB165" s="374"/>
      <c r="AC165" s="374"/>
      <c r="AD165" s="374"/>
      <c r="AE165" s="374"/>
      <c r="AF165" s="374"/>
      <c r="AG165" s="374"/>
      <c r="AH165" s="374"/>
      <c r="AI165" s="374"/>
      <c r="AJ165" s="374"/>
      <c r="AK165" s="293"/>
    </row>
    <row r="166" spans="1:38" ht="14.25" customHeight="1">
      <c r="A166" s="67"/>
      <c r="B166" s="360"/>
      <c r="C166" s="728"/>
      <c r="D166" s="728"/>
      <c r="E166" s="1144"/>
      <c r="F166" s="1144"/>
      <c r="G166" s="1144"/>
      <c r="H166" s="374"/>
      <c r="I166" s="374"/>
      <c r="J166" s="274"/>
      <c r="K166" s="374"/>
      <c r="L166" s="374"/>
      <c r="M166" s="374"/>
      <c r="N166" s="374"/>
      <c r="O166" s="374"/>
      <c r="P166" s="374"/>
      <c r="Q166" s="374"/>
      <c r="R166" s="374"/>
      <c r="S166" s="374"/>
      <c r="T166" s="374"/>
      <c r="U166" s="374"/>
      <c r="V166" s="374"/>
      <c r="W166" s="374"/>
      <c r="X166" s="374"/>
      <c r="Y166" s="374"/>
      <c r="Z166" s="374"/>
      <c r="AA166" s="374"/>
      <c r="AB166" s="374"/>
      <c r="AC166" s="374"/>
      <c r="AD166" s="374"/>
      <c r="AE166" s="374"/>
      <c r="AF166" s="374"/>
      <c r="AG166" s="374"/>
      <c r="AH166" s="374"/>
      <c r="AI166" s="374"/>
      <c r="AJ166" s="374"/>
      <c r="AK166" s="293"/>
    </row>
    <row r="167" spans="1:38" ht="14.25" customHeight="1">
      <c r="A167" s="67"/>
      <c r="B167" s="360"/>
      <c r="C167" s="728"/>
      <c r="D167" s="728"/>
      <c r="E167" s="1144"/>
      <c r="F167" s="1144"/>
      <c r="G167" s="1144"/>
      <c r="H167" s="374"/>
      <c r="I167" s="374"/>
      <c r="J167" s="274"/>
      <c r="K167" s="374"/>
      <c r="L167" s="374"/>
      <c r="M167" s="374"/>
      <c r="N167" s="374"/>
      <c r="O167" s="374"/>
      <c r="P167" s="374"/>
      <c r="Q167" s="374"/>
      <c r="R167" s="374"/>
      <c r="S167" s="374"/>
      <c r="T167" s="374"/>
      <c r="U167" s="374"/>
      <c r="V167" s="374"/>
      <c r="W167" s="374"/>
      <c r="X167" s="374"/>
      <c r="Y167" s="374"/>
      <c r="Z167" s="374"/>
      <c r="AA167" s="374"/>
      <c r="AB167" s="374"/>
      <c r="AC167" s="374"/>
      <c r="AD167" s="374"/>
      <c r="AE167" s="374"/>
      <c r="AF167" s="374"/>
      <c r="AG167" s="374"/>
      <c r="AH167" s="374"/>
      <c r="AI167" s="374"/>
      <c r="AJ167" s="374"/>
      <c r="AK167" s="293"/>
    </row>
    <row r="168" spans="1:38" ht="20.149999999999999" customHeight="1">
      <c r="A168" s="67"/>
      <c r="B168" s="423"/>
      <c r="C168" s="374"/>
      <c r="D168" s="374"/>
      <c r="E168" s="374"/>
      <c r="F168" s="374"/>
      <c r="G168" s="374"/>
      <c r="H168" s="374"/>
      <c r="I168" s="374"/>
      <c r="J168" s="274"/>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293"/>
    </row>
    <row r="169" spans="1:38" ht="20.149999999999999" customHeight="1">
      <c r="A169" s="67"/>
      <c r="B169" s="423"/>
      <c r="C169" s="374"/>
      <c r="D169" s="374"/>
      <c r="E169" s="374"/>
      <c r="F169" s="374"/>
      <c r="G169" s="374"/>
      <c r="H169" s="374"/>
      <c r="I169" s="374"/>
      <c r="J169" s="274"/>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293"/>
      <c r="AL169" s="374"/>
    </row>
    <row r="170" spans="1:38" ht="20.149999999999999" customHeight="1">
      <c r="A170" s="67"/>
      <c r="B170" s="423"/>
      <c r="C170" s="374"/>
      <c r="D170" s="374"/>
      <c r="E170" s="374"/>
      <c r="F170" s="374"/>
      <c r="G170" s="374"/>
      <c r="H170" s="374"/>
      <c r="I170" s="374"/>
      <c r="J170" s="274"/>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293"/>
      <c r="AL170" s="374"/>
    </row>
    <row r="171" spans="1:38" ht="20.149999999999999" customHeight="1">
      <c r="B171" s="423"/>
      <c r="C171" s="374"/>
      <c r="D171" s="374"/>
      <c r="E171" s="374"/>
      <c r="F171" s="374"/>
      <c r="G171" s="374"/>
      <c r="H171" s="374"/>
      <c r="I171" s="374"/>
      <c r="J171" s="274"/>
      <c r="K171" s="374"/>
      <c r="L171" s="374"/>
      <c r="M171" s="374"/>
      <c r="N171" s="374"/>
      <c r="O171" s="374"/>
      <c r="P171" s="374"/>
      <c r="Q171" s="374"/>
      <c r="R171" s="374"/>
      <c r="S171" s="374"/>
      <c r="T171" s="374"/>
      <c r="U171" s="374"/>
      <c r="V171" s="374"/>
      <c r="W171" s="374"/>
      <c r="X171" s="374"/>
      <c r="Y171" s="374"/>
      <c r="Z171" s="374"/>
      <c r="AA171" s="374"/>
      <c r="AB171" s="374"/>
      <c r="AC171" s="374"/>
      <c r="AD171" s="374"/>
      <c r="AE171" s="374"/>
      <c r="AF171" s="374"/>
      <c r="AG171" s="374"/>
      <c r="AH171" s="374"/>
      <c r="AI171" s="374"/>
      <c r="AJ171" s="374"/>
      <c r="AK171" s="293"/>
      <c r="AL171" s="374"/>
    </row>
    <row r="172" spans="1:38" ht="20.149999999999999" customHeight="1">
      <c r="B172" s="374"/>
      <c r="C172" s="374"/>
      <c r="D172" s="374"/>
      <c r="E172" s="374"/>
      <c r="F172" s="374"/>
      <c r="G172" s="374"/>
      <c r="H172" s="374"/>
      <c r="I172" s="374"/>
      <c r="J172" s="274"/>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293"/>
      <c r="AL172" s="374"/>
    </row>
    <row r="173" spans="1:38" ht="20.149999999999999" customHeight="1">
      <c r="B173" s="729"/>
      <c r="C173" s="374"/>
      <c r="D173" s="374"/>
      <c r="E173" s="374"/>
      <c r="F173" s="374"/>
      <c r="G173" s="374"/>
      <c r="H173" s="374"/>
      <c r="I173" s="374"/>
      <c r="J173" s="274"/>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I173" s="67"/>
      <c r="AJ173" s="67"/>
      <c r="AK173" s="338"/>
      <c r="AL173" s="374"/>
    </row>
    <row r="174" spans="1:38" ht="20.149999999999999" customHeight="1">
      <c r="B174" s="374"/>
      <c r="C174" s="374"/>
      <c r="D174" s="374"/>
      <c r="E174" s="374"/>
      <c r="F174" s="374"/>
      <c r="G174" s="374"/>
      <c r="H174" s="374"/>
      <c r="I174" s="374"/>
      <c r="J174" s="274"/>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I174" s="67"/>
      <c r="AJ174" s="67"/>
      <c r="AK174" s="338"/>
      <c r="AL174" s="374"/>
    </row>
    <row r="175" spans="1:38" ht="20.149999999999999" customHeight="1">
      <c r="B175" s="374"/>
      <c r="C175" s="374"/>
      <c r="D175" s="374"/>
      <c r="E175" s="374"/>
      <c r="F175" s="374"/>
      <c r="G175" s="374"/>
      <c r="H175" s="374"/>
      <c r="I175" s="374"/>
      <c r="J175" s="274"/>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I175" s="67"/>
      <c r="AJ175" s="67"/>
      <c r="AK175" s="338"/>
      <c r="AL175" s="374"/>
    </row>
    <row r="176" spans="1:38" ht="20.149999999999999" customHeight="1">
      <c r="B176" s="67"/>
      <c r="C176" s="67"/>
      <c r="D176" s="67"/>
      <c r="E176" s="67"/>
      <c r="F176" s="67"/>
      <c r="G176" s="67"/>
      <c r="H176" s="67"/>
      <c r="I176" s="67"/>
      <c r="J176" s="433"/>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I176" s="67"/>
      <c r="AJ176" s="67"/>
      <c r="AK176" s="338"/>
      <c r="AL176" s="374"/>
    </row>
    <row r="177" spans="2:33" ht="20.149999999999999" customHeight="1">
      <c r="B177" s="67"/>
      <c r="C177" s="67"/>
      <c r="D177" s="67"/>
      <c r="E177" s="67"/>
      <c r="F177" s="67"/>
      <c r="G177" s="67"/>
      <c r="H177" s="67"/>
      <c r="I177" s="67"/>
      <c r="J177" s="433"/>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row>
    <row r="178" spans="2:33" ht="20.149999999999999" customHeight="1">
      <c r="B178" s="67"/>
      <c r="C178" s="67"/>
      <c r="D178" s="67"/>
      <c r="E178" s="67"/>
      <c r="F178" s="67"/>
      <c r="G178" s="67"/>
      <c r="H178" s="67"/>
      <c r="I178" s="67"/>
      <c r="J178" s="433"/>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row>
    <row r="179" spans="2:33" ht="20.149999999999999" customHeight="1">
      <c r="B179" s="67"/>
      <c r="C179" s="67"/>
      <c r="D179" s="67"/>
      <c r="E179" s="67"/>
      <c r="F179" s="67"/>
      <c r="G179" s="67"/>
      <c r="H179" s="67"/>
      <c r="I179" s="67"/>
      <c r="J179" s="433"/>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row>
    <row r="180" spans="2:33" ht="20.149999999999999" customHeight="1">
      <c r="B180" s="67"/>
      <c r="C180" s="67"/>
      <c r="D180" s="67"/>
      <c r="E180" s="67"/>
      <c r="F180" s="67"/>
      <c r="G180" s="67"/>
      <c r="H180" s="67"/>
      <c r="I180" s="67"/>
      <c r="J180" s="433"/>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row>
    <row r="181" spans="2:33">
      <c r="B181" s="67"/>
      <c r="C181" s="67"/>
      <c r="D181" s="67"/>
      <c r="E181" s="67"/>
      <c r="F181" s="67"/>
      <c r="G181" s="67"/>
      <c r="H181" s="67"/>
      <c r="I181" s="67"/>
      <c r="J181" s="433"/>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row>
    <row r="182" spans="2:33">
      <c r="B182" s="67"/>
      <c r="C182" s="67"/>
      <c r="D182" s="67"/>
      <c r="E182" s="67"/>
      <c r="F182" s="67"/>
      <c r="G182" s="67"/>
      <c r="H182" s="67"/>
      <c r="I182" s="67"/>
      <c r="J182" s="433"/>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row>
    <row r="183" spans="2:33">
      <c r="B183" s="67"/>
      <c r="C183" s="67"/>
      <c r="D183" s="67"/>
      <c r="E183" s="67"/>
      <c r="F183" s="67"/>
      <c r="G183" s="67"/>
      <c r="H183" s="67"/>
      <c r="I183" s="67"/>
      <c r="J183" s="433"/>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row>
    <row r="184" spans="2:33">
      <c r="B184" s="67"/>
      <c r="C184" s="67"/>
      <c r="D184" s="67"/>
      <c r="E184" s="67"/>
      <c r="F184" s="67"/>
      <c r="G184" s="67"/>
      <c r="H184" s="67"/>
      <c r="I184" s="67"/>
      <c r="J184" s="433"/>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row>
    <row r="185" spans="2:33">
      <c r="B185" s="67"/>
      <c r="C185" s="67"/>
      <c r="D185" s="67"/>
      <c r="E185" s="67"/>
      <c r="F185" s="67"/>
      <c r="G185" s="67"/>
      <c r="H185" s="67"/>
      <c r="I185" s="67"/>
      <c r="J185" s="433"/>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row>
    <row r="186" spans="2:33">
      <c r="B186" s="67"/>
      <c r="C186" s="67"/>
      <c r="D186" s="67"/>
      <c r="E186" s="67"/>
      <c r="F186" s="67"/>
      <c r="G186" s="67"/>
      <c r="H186" s="67"/>
      <c r="I186" s="67"/>
      <c r="J186" s="433"/>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row>
    <row r="187" spans="2:33">
      <c r="B187" s="67"/>
      <c r="C187" s="67"/>
      <c r="D187" s="67"/>
      <c r="E187" s="67"/>
      <c r="F187" s="67"/>
      <c r="G187" s="67"/>
      <c r="H187" s="67"/>
      <c r="I187" s="67"/>
      <c r="J187" s="433"/>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row>
    <row r="188" spans="2:33">
      <c r="B188" s="67"/>
      <c r="C188" s="67"/>
      <c r="D188" s="67"/>
      <c r="E188" s="67"/>
      <c r="F188" s="67"/>
      <c r="G188" s="67"/>
      <c r="H188" s="67"/>
      <c r="I188" s="67"/>
      <c r="J188" s="433"/>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row>
    <row r="189" spans="2:33">
      <c r="B189" s="67"/>
      <c r="C189" s="67"/>
      <c r="D189" s="67"/>
      <c r="E189" s="67"/>
      <c r="F189" s="67"/>
      <c r="G189" s="67"/>
      <c r="H189" s="67"/>
      <c r="I189" s="67"/>
      <c r="J189" s="433"/>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row>
    <row r="190" spans="2:33">
      <c r="B190" s="67"/>
      <c r="C190" s="67"/>
      <c r="D190" s="67"/>
      <c r="E190" s="67"/>
      <c r="F190" s="67"/>
      <c r="G190" s="67"/>
      <c r="H190" s="67"/>
      <c r="I190" s="67"/>
      <c r="J190" s="433"/>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row>
    <row r="191" spans="2:33">
      <c r="B191" s="67"/>
      <c r="C191" s="67"/>
      <c r="D191" s="67"/>
      <c r="E191" s="67"/>
      <c r="F191" s="67"/>
      <c r="G191" s="67"/>
      <c r="H191" s="67"/>
      <c r="I191" s="67"/>
      <c r="J191" s="433"/>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row>
    <row r="192" spans="2:33">
      <c r="B192" s="67"/>
      <c r="C192" s="67"/>
      <c r="D192" s="67"/>
      <c r="E192" s="67"/>
      <c r="F192" s="67"/>
      <c r="G192" s="67"/>
      <c r="H192" s="67"/>
      <c r="I192" s="67"/>
      <c r="J192" s="433"/>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row>
    <row r="193" spans="2:33">
      <c r="B193" s="67"/>
      <c r="C193" s="67"/>
      <c r="D193" s="67"/>
      <c r="E193" s="67"/>
      <c r="F193" s="67"/>
      <c r="G193" s="67"/>
      <c r="H193" s="67"/>
      <c r="I193" s="67"/>
      <c r="J193" s="433"/>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row>
    <row r="194" spans="2:33">
      <c r="B194" s="67"/>
      <c r="C194" s="67"/>
      <c r="D194" s="67"/>
      <c r="E194" s="67"/>
      <c r="F194" s="67"/>
      <c r="G194" s="67"/>
      <c r="H194" s="67"/>
      <c r="I194" s="67"/>
      <c r="J194" s="433"/>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row>
    <row r="195" spans="2:33">
      <c r="B195" s="67"/>
      <c r="C195" s="67"/>
      <c r="D195" s="67"/>
      <c r="E195" s="67"/>
      <c r="F195" s="67"/>
      <c r="G195" s="67"/>
      <c r="H195" s="67"/>
      <c r="I195" s="67"/>
      <c r="J195" s="433"/>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row>
    <row r="196" spans="2:33">
      <c r="B196" s="67"/>
      <c r="C196" s="67"/>
      <c r="D196" s="67"/>
      <c r="E196" s="67"/>
      <c r="F196" s="67"/>
      <c r="G196" s="67"/>
      <c r="H196" s="67"/>
      <c r="I196" s="67"/>
      <c r="J196" s="433"/>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row>
    <row r="197" spans="2:33">
      <c r="B197" s="67"/>
      <c r="C197" s="67"/>
      <c r="D197" s="67"/>
      <c r="E197" s="67"/>
      <c r="F197" s="67"/>
      <c r="G197" s="67"/>
      <c r="H197" s="67"/>
      <c r="I197" s="67"/>
      <c r="J197" s="433"/>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row>
    <row r="198" spans="2:33">
      <c r="B198" s="67"/>
      <c r="C198" s="67"/>
      <c r="D198" s="67"/>
      <c r="E198" s="67"/>
      <c r="F198" s="67"/>
      <c r="G198" s="67"/>
      <c r="H198" s="67"/>
      <c r="I198" s="67"/>
      <c r="J198" s="433"/>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row>
    <row r="199" spans="2:33">
      <c r="B199" s="67"/>
      <c r="C199" s="67"/>
      <c r="D199" s="67"/>
      <c r="E199" s="67"/>
      <c r="F199" s="67"/>
      <c r="G199" s="67"/>
      <c r="H199" s="67"/>
      <c r="I199" s="67"/>
      <c r="J199" s="433"/>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row>
    <row r="200" spans="2:33">
      <c r="B200" s="67"/>
      <c r="C200" s="67"/>
      <c r="D200" s="67"/>
      <c r="E200" s="67"/>
      <c r="F200" s="67"/>
      <c r="G200" s="67"/>
      <c r="H200" s="67"/>
      <c r="I200" s="67"/>
      <c r="J200" s="433"/>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row>
    <row r="201" spans="2:33">
      <c r="B201" s="67"/>
      <c r="C201" s="67"/>
      <c r="D201" s="67"/>
      <c r="E201" s="67"/>
      <c r="F201" s="67"/>
      <c r="G201" s="67"/>
      <c r="H201" s="67"/>
      <c r="I201" s="67"/>
      <c r="J201" s="433"/>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row>
    <row r="202" spans="2:33">
      <c r="B202" s="67"/>
      <c r="C202" s="67"/>
      <c r="D202" s="67"/>
      <c r="E202" s="67"/>
      <c r="F202" s="67"/>
      <c r="G202" s="67"/>
      <c r="H202" s="67"/>
      <c r="I202" s="67"/>
      <c r="J202" s="433"/>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row>
    <row r="203" spans="2:33">
      <c r="B203" s="67"/>
      <c r="C203" s="67"/>
      <c r="D203" s="67"/>
      <c r="E203" s="67"/>
      <c r="F203" s="67"/>
      <c r="G203" s="67"/>
      <c r="H203" s="67"/>
      <c r="I203" s="67"/>
      <c r="J203" s="433"/>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row>
    <row r="204" spans="2:33">
      <c r="B204" s="67"/>
      <c r="C204" s="67"/>
      <c r="D204" s="67"/>
      <c r="E204" s="67"/>
      <c r="F204" s="67"/>
      <c r="G204" s="67"/>
      <c r="H204" s="67"/>
      <c r="I204" s="67"/>
      <c r="J204" s="433"/>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row>
    <row r="205" spans="2:33">
      <c r="B205" s="67"/>
      <c r="C205" s="67"/>
      <c r="D205" s="67"/>
      <c r="E205" s="67"/>
      <c r="F205" s="67"/>
      <c r="G205" s="67"/>
      <c r="H205" s="67"/>
      <c r="I205" s="67"/>
      <c r="J205" s="433"/>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row>
    <row r="206" spans="2:33">
      <c r="B206" s="67"/>
      <c r="C206" s="67"/>
      <c r="D206" s="67"/>
      <c r="E206" s="67"/>
      <c r="F206" s="67"/>
      <c r="G206" s="67"/>
      <c r="H206" s="67"/>
      <c r="I206" s="67"/>
      <c r="J206" s="433"/>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row>
    <row r="207" spans="2:33">
      <c r="B207" s="67"/>
      <c r="C207" s="67"/>
      <c r="D207" s="67"/>
      <c r="E207" s="67"/>
      <c r="F207" s="67"/>
      <c r="G207" s="67"/>
      <c r="H207" s="67"/>
      <c r="I207" s="67"/>
      <c r="J207" s="433"/>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row>
    <row r="208" spans="2:33">
      <c r="B208" s="67"/>
      <c r="C208" s="67"/>
      <c r="D208" s="67"/>
      <c r="E208" s="67"/>
      <c r="F208" s="67"/>
      <c r="G208" s="67"/>
      <c r="H208" s="67"/>
      <c r="I208" s="67"/>
      <c r="J208" s="433"/>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row>
    <row r="209" spans="2:33">
      <c r="B209" s="67"/>
      <c r="C209" s="67"/>
      <c r="D209" s="67"/>
      <c r="E209" s="67"/>
      <c r="F209" s="67"/>
      <c r="G209" s="67"/>
      <c r="H209" s="67"/>
      <c r="I209" s="67"/>
      <c r="J209" s="433"/>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row>
    <row r="210" spans="2:33">
      <c r="B210" s="67"/>
      <c r="C210" s="67"/>
      <c r="D210" s="67"/>
      <c r="E210" s="67"/>
      <c r="F210" s="67"/>
      <c r="G210" s="67"/>
      <c r="H210" s="67"/>
      <c r="I210" s="67"/>
      <c r="J210" s="433"/>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row>
    <row r="211" spans="2:33">
      <c r="B211" s="67"/>
      <c r="C211" s="67"/>
      <c r="D211" s="67"/>
      <c r="E211" s="67"/>
      <c r="F211" s="67"/>
      <c r="G211" s="67"/>
      <c r="H211" s="67"/>
      <c r="I211" s="67"/>
      <c r="J211" s="433"/>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row>
    <row r="212" spans="2:33">
      <c r="B212" s="67"/>
      <c r="C212" s="67"/>
      <c r="D212" s="67"/>
      <c r="E212" s="67"/>
      <c r="F212" s="67"/>
      <c r="G212" s="67"/>
      <c r="H212" s="67"/>
      <c r="I212" s="67"/>
      <c r="J212" s="433"/>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row>
    <row r="213" spans="2:33">
      <c r="B213" s="67"/>
      <c r="C213" s="67"/>
      <c r="D213" s="67"/>
      <c r="E213" s="67"/>
      <c r="F213" s="67"/>
      <c r="G213" s="67"/>
      <c r="H213" s="67"/>
      <c r="I213" s="67"/>
      <c r="J213" s="433"/>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row>
    <row r="214" spans="2:33">
      <c r="B214" s="67"/>
      <c r="C214" s="67"/>
      <c r="D214" s="67"/>
      <c r="E214" s="67"/>
      <c r="F214" s="67"/>
      <c r="G214" s="67"/>
      <c r="H214" s="67"/>
      <c r="I214" s="67"/>
      <c r="J214" s="433"/>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row>
    <row r="215" spans="2:33">
      <c r="B215" s="67"/>
      <c r="C215" s="67"/>
      <c r="D215" s="67"/>
      <c r="E215" s="67"/>
      <c r="F215" s="67"/>
      <c r="G215" s="67"/>
      <c r="H215" s="67"/>
      <c r="I215" s="67"/>
      <c r="J215" s="433"/>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row>
    <row r="216" spans="2:33">
      <c r="B216" s="67"/>
      <c r="C216" s="67"/>
      <c r="D216" s="67"/>
      <c r="E216" s="67"/>
      <c r="F216" s="67"/>
      <c r="G216" s="67"/>
      <c r="H216" s="67"/>
      <c r="I216" s="67"/>
      <c r="J216" s="433"/>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row>
    <row r="217" spans="2:33">
      <c r="B217" s="67"/>
      <c r="C217" s="67"/>
      <c r="D217" s="67"/>
      <c r="E217" s="67"/>
      <c r="F217" s="67"/>
      <c r="G217" s="67"/>
      <c r="H217" s="67"/>
      <c r="I217" s="67"/>
      <c r="J217" s="433"/>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row>
    <row r="218" spans="2:33">
      <c r="B218" s="67"/>
      <c r="C218" s="67"/>
      <c r="D218" s="67"/>
      <c r="E218" s="67"/>
      <c r="F218" s="67"/>
      <c r="G218" s="67"/>
      <c r="H218" s="67"/>
      <c r="I218" s="67"/>
      <c r="J218" s="433"/>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row>
  </sheetData>
  <mergeCells count="1">
    <mergeCell ref="AB9:AK9"/>
  </mergeCells>
  <printOptions horizontalCentered="1"/>
  <pageMargins left="0.25" right="0.25" top="0.5" bottom="0.25" header="0.3" footer="0.3"/>
  <pageSetup scale="38" firstPageNumber="21"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20 AK25:AK31 AK100:AK105 AK46:AK51 AK65" unlockedFormula="1"/>
    <ignoredError sqref="AI21 D23 AK91:AK93 N23 P23 X23 AK23 AK33 AK83 AK106 AK13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6"/>
  <sheetViews>
    <sheetView showGridLines="0" zoomScale="80" zoomScaleNormal="70" workbookViewId="0"/>
  </sheetViews>
  <sheetFormatPr defaultColWidth="8.69140625" defaultRowHeight="15.5"/>
  <cols>
    <col min="1" max="1" width="1.69140625" style="4" customWidth="1"/>
    <col min="2" max="2" width="45.4609375" style="4" customWidth="1"/>
    <col min="3" max="3" width="1.69140625" style="4" customWidth="1"/>
    <col min="4" max="4" width="12.4609375" style="4" bestFit="1" customWidth="1"/>
    <col min="5" max="5" width="1.69140625" customWidth="1"/>
    <col min="6" max="6" width="12.07421875" style="4" bestFit="1" customWidth="1"/>
    <col min="7" max="7" width="1.69140625" customWidth="1"/>
    <col min="8" max="8" width="13.4609375" style="4" customWidth="1"/>
    <col min="9" max="9" width="1.69140625" customWidth="1"/>
    <col min="10" max="10" width="16.07421875" style="4" customWidth="1"/>
    <col min="11" max="11" width="1.69140625" customWidth="1"/>
    <col min="12" max="12" width="13.4609375" style="4" customWidth="1"/>
    <col min="13" max="13" width="1.69140625" customWidth="1"/>
    <col min="14" max="14" width="14.07421875" style="4" customWidth="1"/>
    <col min="15" max="15" width="1.69140625" customWidth="1"/>
    <col min="16" max="16" width="14.07421875" style="4" customWidth="1"/>
    <col min="17" max="17" width="1.69140625" customWidth="1"/>
    <col min="18" max="18" width="14.07421875" style="4" customWidth="1"/>
    <col min="19" max="19" width="1.69140625" customWidth="1"/>
    <col min="20" max="20" width="14.07421875" style="4" customWidth="1"/>
    <col min="21" max="21" width="1.69140625" customWidth="1"/>
    <col min="22" max="22" width="14.07421875" style="4" customWidth="1"/>
    <col min="23" max="23" width="1.69140625" customWidth="1"/>
    <col min="24" max="24" width="14.07421875" style="4" customWidth="1"/>
    <col min="25" max="25" width="1.69140625" customWidth="1"/>
    <col min="26" max="26" width="14.07421875" style="4" customWidth="1"/>
    <col min="27" max="27" width="1.69140625" style="4" customWidth="1"/>
    <col min="28" max="28" width="14.07421875" style="4" customWidth="1"/>
    <col min="29" max="30" width="0.69140625" style="4" customWidth="1"/>
    <col min="31" max="31" width="12.53515625" style="4" bestFit="1" customWidth="1"/>
    <col min="32" max="32" width="1.4609375" style="4" customWidth="1"/>
    <col min="33" max="33" width="1.07421875" style="4" customWidth="1"/>
    <col min="34" max="34" width="12.53515625" style="4" bestFit="1" customWidth="1"/>
    <col min="35" max="36" width="1.07421875" style="4" customWidth="1"/>
    <col min="37" max="37" width="12.69140625" style="4" customWidth="1"/>
    <col min="38" max="38" width="0.69140625" style="4" customWidth="1"/>
    <col min="39" max="39" width="11.69140625" style="374" bestFit="1" customWidth="1"/>
    <col min="40" max="16384" width="8.69140625" style="4"/>
  </cols>
  <sheetData>
    <row r="1" spans="1:46">
      <c r="A1" s="374"/>
      <c r="B1" s="294" t="s">
        <v>97</v>
      </c>
      <c r="C1" s="374"/>
      <c r="D1" s="374"/>
      <c r="F1" s="374"/>
      <c r="H1" s="374"/>
      <c r="J1" s="374"/>
      <c r="L1" s="374"/>
      <c r="N1" s="374"/>
      <c r="P1" s="374"/>
      <c r="R1" s="374"/>
      <c r="T1" s="374"/>
      <c r="V1" s="374"/>
      <c r="X1" s="374"/>
      <c r="Z1" s="374"/>
      <c r="AA1" s="374"/>
      <c r="AB1" s="374"/>
      <c r="AC1" s="374"/>
      <c r="AD1" s="374"/>
      <c r="AE1" s="374"/>
      <c r="AF1" s="374"/>
      <c r="AG1" s="374"/>
      <c r="AH1" s="374"/>
      <c r="AI1" s="374"/>
      <c r="AJ1" s="374"/>
      <c r="AK1" s="374"/>
      <c r="AL1" s="374"/>
      <c r="AN1" s="374"/>
      <c r="AO1" s="374"/>
      <c r="AP1" s="374"/>
      <c r="AQ1" s="374"/>
      <c r="AR1" s="374"/>
    </row>
    <row r="2" spans="1:46">
      <c r="A2" s="374"/>
      <c r="B2" s="374"/>
      <c r="C2" s="374"/>
      <c r="D2" s="374"/>
      <c r="F2" s="374"/>
      <c r="H2" s="374"/>
      <c r="J2" s="374"/>
      <c r="L2" s="374"/>
      <c r="N2" s="3"/>
      <c r="P2" s="374"/>
      <c r="R2" s="374"/>
      <c r="T2" s="374"/>
      <c r="V2" s="374"/>
      <c r="X2" s="374"/>
      <c r="Z2" s="374"/>
      <c r="AA2" s="374"/>
      <c r="AB2" s="374"/>
      <c r="AC2" s="374"/>
      <c r="AD2" s="374"/>
      <c r="AE2" s="374"/>
      <c r="AF2" s="374"/>
      <c r="AG2" s="374"/>
      <c r="AH2" s="374"/>
      <c r="AI2" s="374"/>
      <c r="AJ2" s="374"/>
      <c r="AK2" s="374"/>
      <c r="AL2" s="374"/>
      <c r="AN2" s="374"/>
      <c r="AO2" s="374"/>
      <c r="AP2" s="374"/>
      <c r="AQ2" s="374"/>
      <c r="AR2" s="374"/>
    </row>
    <row r="3" spans="1:46" ht="18">
      <c r="A3" s="374"/>
      <c r="B3" s="69" t="s">
        <v>98</v>
      </c>
      <c r="C3" s="374"/>
      <c r="D3" s="374"/>
      <c r="F3" s="374"/>
      <c r="H3" s="374"/>
      <c r="J3" s="374"/>
      <c r="L3" s="374"/>
      <c r="N3" s="3"/>
      <c r="P3" s="374"/>
      <c r="R3" s="374"/>
      <c r="T3" s="374"/>
      <c r="V3" s="374"/>
      <c r="X3" s="374"/>
      <c r="Z3" s="374"/>
      <c r="AA3" s="374"/>
      <c r="AB3" s="374"/>
      <c r="AC3" s="374"/>
      <c r="AD3" s="374"/>
      <c r="AE3" s="374"/>
      <c r="AF3" s="301"/>
      <c r="AG3" s="301"/>
      <c r="AH3" s="301"/>
      <c r="AI3" s="301"/>
      <c r="AJ3" s="301"/>
      <c r="AK3" s="301"/>
      <c r="AL3" s="301"/>
      <c r="AM3" s="111" t="s">
        <v>480</v>
      </c>
      <c r="AN3" s="374"/>
      <c r="AO3" s="374"/>
      <c r="AP3" s="374"/>
      <c r="AQ3" s="374"/>
      <c r="AR3" s="374"/>
    </row>
    <row r="4" spans="1:46" ht="18">
      <c r="A4" s="374"/>
      <c r="B4" s="69" t="s">
        <v>481</v>
      </c>
      <c r="C4" s="374"/>
      <c r="D4" s="374"/>
      <c r="F4" s="374"/>
      <c r="H4" s="374"/>
      <c r="J4" s="374"/>
      <c r="L4" s="3"/>
      <c r="N4" s="374"/>
      <c r="P4" s="374"/>
      <c r="R4" s="374"/>
      <c r="T4" s="374"/>
      <c r="V4" s="374"/>
      <c r="X4" s="374"/>
      <c r="Z4" s="374"/>
      <c r="AA4" s="374"/>
      <c r="AB4" s="374"/>
      <c r="AC4" s="374"/>
      <c r="AD4" s="374"/>
      <c r="AE4" s="374"/>
      <c r="AF4" s="374"/>
      <c r="AG4" s="374"/>
      <c r="AH4" s="374"/>
      <c r="AI4" s="374"/>
      <c r="AJ4" s="374"/>
      <c r="AK4" s="374"/>
      <c r="AL4" s="374"/>
      <c r="AN4" s="374"/>
      <c r="AO4" s="374"/>
      <c r="AP4" s="374"/>
      <c r="AQ4" s="374"/>
      <c r="AR4" s="374"/>
    </row>
    <row r="5" spans="1:46" ht="18">
      <c r="A5" s="374"/>
      <c r="B5" s="551" t="s">
        <v>452</v>
      </c>
      <c r="C5" s="374"/>
      <c r="D5" s="374"/>
      <c r="F5" s="374"/>
      <c r="H5" s="374"/>
      <c r="J5" s="374"/>
      <c r="L5" s="301"/>
      <c r="N5" s="374"/>
      <c r="P5" s="374"/>
      <c r="R5" s="374"/>
      <c r="T5" s="374"/>
      <c r="V5" s="374"/>
      <c r="X5" s="416"/>
      <c r="Z5" s="374"/>
      <c r="AA5" s="374"/>
      <c r="AB5" s="374"/>
      <c r="AC5" s="374"/>
      <c r="AD5" s="374"/>
      <c r="AE5" s="374"/>
      <c r="AF5" s="374"/>
      <c r="AG5" s="374"/>
      <c r="AH5" s="374"/>
      <c r="AI5" s="374"/>
      <c r="AJ5" s="374"/>
      <c r="AK5" s="374"/>
      <c r="AL5" s="374"/>
      <c r="AN5" s="374"/>
      <c r="AO5" s="374"/>
      <c r="AP5" s="374"/>
      <c r="AQ5" s="374"/>
      <c r="AR5" s="374"/>
    </row>
    <row r="6" spans="1:46" ht="20">
      <c r="A6" s="374"/>
      <c r="B6" s="551" t="str">
        <f>'Cashflow Governmental'!A6</f>
        <v>FISCAL YEAR 2024-2025</v>
      </c>
      <c r="C6" s="374"/>
      <c r="D6" s="374"/>
      <c r="F6" s="374"/>
      <c r="H6" s="374"/>
      <c r="J6" s="374"/>
      <c r="L6" s="301"/>
      <c r="N6" s="374"/>
      <c r="P6" s="374"/>
      <c r="R6" s="374"/>
      <c r="T6" s="374" t="s">
        <v>103</v>
      </c>
      <c r="V6" s="374"/>
      <c r="X6" s="374"/>
      <c r="Z6" s="374"/>
      <c r="AA6" s="374"/>
      <c r="AB6" s="374"/>
      <c r="AC6" s="374"/>
      <c r="AD6" s="374"/>
      <c r="AE6" s="374"/>
      <c r="AF6" s="374"/>
      <c r="AG6" s="374"/>
      <c r="AH6" s="374"/>
      <c r="AI6" s="374"/>
      <c r="AJ6" s="374"/>
      <c r="AK6" s="374"/>
      <c r="AL6" s="374"/>
      <c r="AM6" s="872"/>
      <c r="AN6" s="374"/>
      <c r="AO6" s="374"/>
      <c r="AP6" s="374"/>
      <c r="AQ6" s="374"/>
      <c r="AR6" s="374"/>
    </row>
    <row r="7" spans="1:46" ht="18">
      <c r="A7" s="374"/>
      <c r="B7" s="69" t="s">
        <v>482</v>
      </c>
      <c r="C7" s="374"/>
      <c r="D7" s="374"/>
      <c r="F7" s="374"/>
      <c r="H7" s="374"/>
      <c r="J7" s="374"/>
      <c r="L7" s="374"/>
      <c r="N7" s="374"/>
      <c r="P7" s="374"/>
      <c r="R7" s="374"/>
      <c r="T7" s="374"/>
      <c r="V7" s="374"/>
      <c r="X7" s="374"/>
      <c r="Z7" s="374"/>
      <c r="AA7" s="374"/>
      <c r="AB7" s="374"/>
      <c r="AC7" s="374"/>
      <c r="AD7" s="374"/>
      <c r="AE7" s="374"/>
      <c r="AF7" s="374"/>
      <c r="AG7" s="374"/>
      <c r="AH7" s="374"/>
      <c r="AI7" s="374"/>
      <c r="AJ7" s="301"/>
      <c r="AK7" s="301"/>
      <c r="AL7" s="301"/>
      <c r="AM7" s="301"/>
      <c r="AN7" s="374"/>
      <c r="AO7" s="374"/>
      <c r="AP7" s="374"/>
      <c r="AQ7" s="374"/>
      <c r="AR7" s="374"/>
    </row>
    <row r="8" spans="1:46">
      <c r="A8" s="374"/>
      <c r="B8" s="374"/>
      <c r="C8" s="374"/>
      <c r="D8" s="374"/>
      <c r="F8" s="374"/>
      <c r="H8" s="374"/>
      <c r="J8" s="374"/>
      <c r="L8" s="301"/>
      <c r="N8" s="301"/>
      <c r="P8" s="374"/>
      <c r="R8" s="374"/>
      <c r="T8" s="374"/>
      <c r="V8" s="374"/>
      <c r="X8" s="374"/>
      <c r="Z8" s="374"/>
      <c r="AA8" s="374"/>
      <c r="AB8" s="374"/>
      <c r="AC8" s="374"/>
      <c r="AD8" s="301"/>
      <c r="AE8" s="301"/>
      <c r="AF8" s="301"/>
      <c r="AG8" s="301"/>
      <c r="AH8" s="301"/>
      <c r="AI8" s="301"/>
      <c r="AJ8" s="301"/>
      <c r="AK8" s="301"/>
      <c r="AL8" s="301"/>
      <c r="AM8" s="301"/>
      <c r="AN8" s="374"/>
      <c r="AO8" s="374"/>
      <c r="AP8" s="374"/>
      <c r="AQ8" s="374"/>
      <c r="AR8" s="374"/>
    </row>
    <row r="9" spans="1:46" s="67" customFormat="1" ht="19.5" customHeight="1">
      <c r="D9" s="67" t="s">
        <v>103</v>
      </c>
      <c r="E9" s="276" t="s">
        <v>103</v>
      </c>
      <c r="G9"/>
      <c r="I9"/>
      <c r="K9"/>
      <c r="L9" s="75"/>
      <c r="M9"/>
      <c r="N9" s="75"/>
      <c r="O9"/>
      <c r="Q9"/>
      <c r="S9"/>
      <c r="U9"/>
      <c r="W9"/>
      <c r="Y9"/>
      <c r="AB9" s="55" t="s">
        <v>483</v>
      </c>
      <c r="AC9" s="55"/>
      <c r="AD9" s="2124" t="str">
        <f>'Cashflow Governmental'!$AB$12</f>
        <v>11 Months Ended February 28</v>
      </c>
      <c r="AE9" s="2124"/>
      <c r="AF9" s="2124"/>
      <c r="AG9" s="2124"/>
      <c r="AH9" s="2124"/>
      <c r="AI9" s="2124"/>
      <c r="AJ9" s="2124"/>
      <c r="AK9" s="2124"/>
      <c r="AL9" s="2124"/>
      <c r="AM9" s="2124"/>
    </row>
    <row r="10" spans="1:46">
      <c r="A10" s="374"/>
      <c r="B10" s="374"/>
      <c r="C10" s="374"/>
      <c r="D10" s="324" t="str">
        <f>'Cashflow Governmental'!C13</f>
        <v>2024</v>
      </c>
      <c r="F10" s="3"/>
      <c r="H10" s="3"/>
      <c r="J10" s="3"/>
      <c r="L10" s="3"/>
      <c r="N10" s="3"/>
      <c r="P10" s="3"/>
      <c r="R10" s="3"/>
      <c r="T10" s="3"/>
      <c r="V10" s="324">
        <f>'Cashflow Governmental'!U13</f>
        <v>2025</v>
      </c>
      <c r="X10" s="3"/>
      <c r="Z10" s="3"/>
      <c r="AA10" s="3"/>
      <c r="AB10" s="55" t="s">
        <v>484</v>
      </c>
      <c r="AC10" s="55"/>
      <c r="AD10" s="3"/>
      <c r="AE10" s="61"/>
      <c r="AF10" s="61"/>
      <c r="AG10" s="61"/>
      <c r="AH10" s="61"/>
      <c r="AI10" s="61"/>
      <c r="AJ10" s="61"/>
      <c r="AK10" s="329" t="s">
        <v>110</v>
      </c>
      <c r="AL10" s="61"/>
      <c r="AM10" s="330" t="s">
        <v>111</v>
      </c>
      <c r="AN10" s="61"/>
      <c r="AO10" s="61"/>
      <c r="AP10" s="61"/>
      <c r="AQ10" s="61"/>
      <c r="AR10" s="61"/>
    </row>
    <row r="11" spans="1:46">
      <c r="A11" s="374"/>
      <c r="B11" s="374"/>
      <c r="C11" s="374"/>
      <c r="D11" s="55" t="s">
        <v>336</v>
      </c>
      <c r="F11" s="55" t="s">
        <v>337</v>
      </c>
      <c r="H11" s="55" t="s">
        <v>338</v>
      </c>
      <c r="J11" s="55" t="s">
        <v>339</v>
      </c>
      <c r="L11" s="1249" t="s">
        <v>340</v>
      </c>
      <c r="N11" s="55" t="s">
        <v>453</v>
      </c>
      <c r="P11" s="55" t="s">
        <v>454</v>
      </c>
      <c r="R11" s="55" t="s">
        <v>343</v>
      </c>
      <c r="T11" s="55" t="s">
        <v>344</v>
      </c>
      <c r="V11" s="55" t="s">
        <v>345</v>
      </c>
      <c r="X11" s="55" t="s">
        <v>346</v>
      </c>
      <c r="Z11" s="55" t="s">
        <v>455</v>
      </c>
      <c r="AA11" s="55"/>
      <c r="AB11" s="1249" t="s">
        <v>485</v>
      </c>
      <c r="AC11" s="55"/>
      <c r="AD11" s="3"/>
      <c r="AE11" s="324" t="str">
        <f>'Cashflow Governmental'!AB14</f>
        <v>2025</v>
      </c>
      <c r="AF11" s="3" t="s">
        <v>103</v>
      </c>
      <c r="AG11" s="61"/>
      <c r="AH11" s="324" t="str">
        <f>'Cashflow Governmental'!AE14</f>
        <v>2024</v>
      </c>
      <c r="AI11" s="324"/>
      <c r="AJ11" s="61"/>
      <c r="AK11" s="1251" t="s">
        <v>112</v>
      </c>
      <c r="AL11" s="61"/>
      <c r="AM11" s="1251" t="s">
        <v>113</v>
      </c>
      <c r="AN11" s="61"/>
      <c r="AO11" s="61"/>
      <c r="AP11" s="61"/>
      <c r="AQ11" s="61"/>
      <c r="AR11" s="61"/>
    </row>
    <row r="12" spans="1:46" ht="5.25" customHeight="1">
      <c r="A12" s="374"/>
      <c r="B12" s="374"/>
      <c r="C12" s="374"/>
      <c r="D12" s="1015"/>
      <c r="F12" s="1015"/>
      <c r="H12" s="1015"/>
      <c r="J12" s="1015"/>
      <c r="L12" s="1015"/>
      <c r="N12" s="1015"/>
      <c r="P12" s="1015"/>
      <c r="R12" s="1015"/>
      <c r="T12" s="1015"/>
      <c r="V12" s="1015"/>
      <c r="X12" s="1015"/>
      <c r="Z12" s="1015"/>
      <c r="AA12" s="374"/>
      <c r="AB12" s="374"/>
      <c r="AC12" s="374"/>
      <c r="AD12" s="374"/>
      <c r="AE12" s="1015"/>
      <c r="AF12" s="374"/>
      <c r="AG12" s="374"/>
      <c r="AH12" s="1015"/>
      <c r="AI12" s="374"/>
      <c r="AJ12" s="374"/>
      <c r="AK12" s="374"/>
      <c r="AL12" s="374"/>
      <c r="AN12" s="374"/>
      <c r="AO12" s="374"/>
      <c r="AP12" s="374"/>
      <c r="AQ12" s="374"/>
      <c r="AR12" s="374"/>
    </row>
    <row r="13" spans="1:46" ht="15" customHeight="1">
      <c r="A13" s="301"/>
      <c r="B13" s="1248" t="s">
        <v>486</v>
      </c>
      <c r="C13" s="301"/>
      <c r="D13" s="20">
        <f>'Exhibit G State'!D13+'Exhibit G Federal'!D13</f>
        <v>20794.8</v>
      </c>
      <c r="F13" s="20">
        <f>D124</f>
        <v>24032.799999999999</v>
      </c>
      <c r="G13" s="20"/>
      <c r="H13" s="20">
        <f>F124</f>
        <v>24134.2</v>
      </c>
      <c r="J13" s="20">
        <f>H124</f>
        <v>24410.1</v>
      </c>
      <c r="L13" s="20">
        <f>J124</f>
        <v>24320.2</v>
      </c>
      <c r="N13" s="20">
        <f>L124</f>
        <v>25592.3</v>
      </c>
      <c r="P13" s="20">
        <f>N124</f>
        <v>23203.3</v>
      </c>
      <c r="R13" s="20">
        <f>P124</f>
        <v>22745.5</v>
      </c>
      <c r="S13" s="20"/>
      <c r="T13" s="20">
        <f>R124</f>
        <v>23003.4</v>
      </c>
      <c r="U13" s="20"/>
      <c r="V13" s="20">
        <f>T124</f>
        <v>18801.3</v>
      </c>
      <c r="W13" s="20"/>
      <c r="X13" s="20">
        <f>V124</f>
        <v>18270.599999999999</v>
      </c>
      <c r="Y13" s="20"/>
      <c r="Z13" s="20"/>
      <c r="AA13" s="20"/>
      <c r="AB13" s="20">
        <v>0</v>
      </c>
      <c r="AC13" s="20"/>
      <c r="AD13" s="21"/>
      <c r="AE13" s="20">
        <f>D13</f>
        <v>20794.8</v>
      </c>
      <c r="AF13" s="20"/>
      <c r="AG13" s="21"/>
      <c r="AH13" s="87">
        <f>'Exhibit G State'!AF13+'Exhibit G Federal'!AF13</f>
        <v>23940.199999999997</v>
      </c>
      <c r="AI13" s="77"/>
      <c r="AJ13" s="20"/>
      <c r="AK13" s="44">
        <f>AE13-AH13</f>
        <v>-3145.3999999999978</v>
      </c>
      <c r="AL13" s="730"/>
      <c r="AM13" s="78">
        <f>(AE13-AH13)/AH13</f>
        <v>-0.13138570270925048</v>
      </c>
      <c r="AN13" s="416"/>
      <c r="AO13" s="416"/>
      <c r="AP13" s="416"/>
      <c r="AQ13" s="416"/>
      <c r="AR13" s="416"/>
      <c r="AS13" s="416"/>
      <c r="AT13" s="416"/>
    </row>
    <row r="14" spans="1:46" ht="15" customHeight="1">
      <c r="A14" s="301"/>
      <c r="B14" s="301"/>
      <c r="C14" s="301"/>
      <c r="D14" s="374"/>
      <c r="F14" s="374"/>
      <c r="G14" s="374"/>
      <c r="H14" s="374"/>
      <c r="J14" s="374"/>
      <c r="L14" s="374"/>
      <c r="N14" s="374"/>
      <c r="P14" s="374"/>
      <c r="R14" s="374"/>
      <c r="T14" s="374"/>
      <c r="V14" s="374"/>
      <c r="X14" s="374"/>
      <c r="Z14" s="374"/>
      <c r="AA14" s="374"/>
      <c r="AB14" s="374"/>
      <c r="AC14" s="374"/>
      <c r="AD14" s="1060"/>
      <c r="AE14" s="374"/>
      <c r="AF14" s="374"/>
      <c r="AG14" s="1060"/>
      <c r="AH14" s="374"/>
      <c r="AI14" s="1061"/>
      <c r="AJ14" s="374"/>
      <c r="AK14" s="374"/>
      <c r="AL14" s="374"/>
      <c r="AM14" s="293"/>
      <c r="AN14" s="416"/>
      <c r="AO14" s="416"/>
      <c r="AP14" s="416"/>
      <c r="AQ14" s="416"/>
      <c r="AR14" s="416"/>
      <c r="AS14" s="416"/>
      <c r="AT14" s="416"/>
    </row>
    <row r="15" spans="1:46" ht="15" customHeight="1">
      <c r="A15" s="301"/>
      <c r="B15" s="3" t="s">
        <v>114</v>
      </c>
      <c r="C15" s="301"/>
      <c r="D15" s="274"/>
      <c r="F15" s="274"/>
      <c r="G15" s="274"/>
      <c r="H15" s="274"/>
      <c r="J15" s="274"/>
      <c r="L15" s="274"/>
      <c r="N15" s="274"/>
      <c r="P15" s="274"/>
      <c r="R15" s="274"/>
      <c r="T15" s="274"/>
      <c r="V15" s="274"/>
      <c r="X15" s="274"/>
      <c r="Z15" s="274"/>
      <c r="AA15" s="274"/>
      <c r="AB15" s="274"/>
      <c r="AC15" s="274"/>
      <c r="AD15" s="534"/>
      <c r="AE15" s="274"/>
      <c r="AF15" s="274"/>
      <c r="AG15" s="534"/>
      <c r="AH15" s="274"/>
      <c r="AI15" s="530"/>
      <c r="AJ15" s="274"/>
      <c r="AK15" s="274"/>
      <c r="AL15" s="374"/>
      <c r="AM15" s="293"/>
      <c r="AN15" s="416"/>
      <c r="AO15" s="416"/>
      <c r="AP15" s="416"/>
      <c r="AQ15" s="416"/>
      <c r="AR15" s="416"/>
      <c r="AS15" s="416"/>
      <c r="AT15" s="416"/>
    </row>
    <row r="16" spans="1:46" ht="15" customHeight="1">
      <c r="A16" s="301"/>
      <c r="B16" s="1248" t="s">
        <v>349</v>
      </c>
      <c r="C16" s="301"/>
      <c r="D16" s="274"/>
      <c r="F16" s="274"/>
      <c r="G16" s="274"/>
      <c r="H16" s="274"/>
      <c r="J16" s="274"/>
      <c r="L16" s="274"/>
      <c r="N16" s="274"/>
      <c r="P16" s="274"/>
      <c r="R16" s="274"/>
      <c r="T16" s="274"/>
      <c r="V16" s="274"/>
      <c r="X16" s="274"/>
      <c r="Z16" s="274"/>
      <c r="AA16" s="274"/>
      <c r="AB16" s="274"/>
      <c r="AC16" s="274"/>
      <c r="AD16" s="534"/>
      <c r="AE16" s="274"/>
      <c r="AF16" s="274"/>
      <c r="AG16" s="534"/>
      <c r="AH16" s="274"/>
      <c r="AI16" s="530"/>
      <c r="AJ16" s="274"/>
      <c r="AK16" s="274"/>
      <c r="AL16" s="374"/>
      <c r="AM16" s="293"/>
      <c r="AN16" s="416"/>
      <c r="AO16" s="416"/>
      <c r="AP16" s="416"/>
      <c r="AQ16" s="416"/>
      <c r="AR16" s="416"/>
      <c r="AS16" s="416"/>
      <c r="AT16" s="416"/>
    </row>
    <row r="17" spans="1:46" s="61" customFormat="1" ht="15" customHeight="1">
      <c r="A17" s="3"/>
      <c r="B17" s="423" t="s">
        <v>487</v>
      </c>
      <c r="C17" s="3"/>
      <c r="D17" s="274">
        <f>'Exhibit G State'!D17</f>
        <v>0</v>
      </c>
      <c r="E17" s="274"/>
      <c r="F17" s="274">
        <f>'Exhibit G State'!F17</f>
        <v>0</v>
      </c>
      <c r="G17" s="274"/>
      <c r="H17" s="274">
        <f>'Exhibit G State'!H17</f>
        <v>0</v>
      </c>
      <c r="I17"/>
      <c r="J17" s="274">
        <f>'Exhibit G State'!J17</f>
        <v>0</v>
      </c>
      <c r="K17"/>
      <c r="L17" s="274">
        <f>'Exhibit G State'!L17</f>
        <v>0</v>
      </c>
      <c r="M17"/>
      <c r="N17" s="274">
        <f>'Exhibit G State'!N17</f>
        <v>0</v>
      </c>
      <c r="O17"/>
      <c r="P17" s="274">
        <v>0</v>
      </c>
      <c r="Q17"/>
      <c r="R17" s="274">
        <v>0</v>
      </c>
      <c r="S17" s="274"/>
      <c r="T17" s="274">
        <v>1.1000000000000001</v>
      </c>
      <c r="U17" s="274"/>
      <c r="V17" s="274">
        <v>1443</v>
      </c>
      <c r="W17" s="274"/>
      <c r="X17" s="274">
        <f>'Exhibit G State'!X17</f>
        <v>0</v>
      </c>
      <c r="Y17" s="274"/>
      <c r="Z17" s="274"/>
      <c r="AA17" s="274"/>
      <c r="AB17" s="274">
        <v>0</v>
      </c>
      <c r="AC17" s="274"/>
      <c r="AD17" s="21"/>
      <c r="AE17" s="274">
        <f>ROUND(SUM(D17:Z17),1)</f>
        <v>1444.1</v>
      </c>
      <c r="AF17" s="274"/>
      <c r="AG17" s="534"/>
      <c r="AH17" s="297">
        <f>'Exhibit G State'!AF17</f>
        <v>1587.6</v>
      </c>
      <c r="AI17" s="530"/>
      <c r="AJ17" s="274"/>
      <c r="AK17" s="274">
        <f>ROUND(SUM(+AE17-AH17),1)</f>
        <v>-143.5</v>
      </c>
      <c r="AL17" s="11"/>
      <c r="AM17" s="276">
        <f>ROUND(IF(AH17=0,0,AK17/ABS(AH17)),3)</f>
        <v>-0.09</v>
      </c>
      <c r="AN17" s="416"/>
      <c r="AO17" s="416"/>
      <c r="AP17" s="416"/>
      <c r="AQ17" s="416"/>
      <c r="AR17" s="416"/>
      <c r="AS17" s="416"/>
      <c r="AT17" s="416"/>
    </row>
    <row r="18" spans="1:46" s="61" customFormat="1" ht="6" customHeight="1">
      <c r="A18" s="3"/>
      <c r="B18" s="423"/>
      <c r="C18" s="3"/>
      <c r="D18" s="731"/>
      <c r="E18" s="731"/>
      <c r="F18" s="731"/>
      <c r="G18" s="731"/>
      <c r="H18" s="731"/>
      <c r="I18"/>
      <c r="J18" s="731"/>
      <c r="K18"/>
      <c r="L18" s="731"/>
      <c r="M18"/>
      <c r="N18" s="731"/>
      <c r="O18"/>
      <c r="P18" s="731"/>
      <c r="Q18"/>
      <c r="R18" s="731"/>
      <c r="S18" s="731"/>
      <c r="T18" s="731"/>
      <c r="U18" s="731"/>
      <c r="V18" s="731"/>
      <c r="W18"/>
      <c r="X18" s="731"/>
      <c r="Y18" s="731"/>
      <c r="Z18" s="731"/>
      <c r="AA18" s="731"/>
      <c r="AB18" s="20"/>
      <c r="AC18" s="20"/>
      <c r="AD18" s="21"/>
      <c r="AE18" s="284"/>
      <c r="AF18" s="284"/>
      <c r="AG18" s="442"/>
      <c r="AH18" s="286"/>
      <c r="AI18" s="908"/>
      <c r="AJ18" s="284"/>
      <c r="AK18" s="284"/>
      <c r="AL18" s="11"/>
      <c r="AM18" s="276"/>
      <c r="AN18" s="416"/>
      <c r="AO18" s="416"/>
      <c r="AP18" s="416"/>
      <c r="AQ18" s="416"/>
      <c r="AR18" s="416"/>
      <c r="AS18" s="416"/>
      <c r="AT18" s="416"/>
    </row>
    <row r="19" spans="1:46" ht="15" customHeight="1">
      <c r="A19" s="301"/>
      <c r="B19" s="423" t="s">
        <v>361</v>
      </c>
      <c r="C19" s="301"/>
      <c r="D19" s="274"/>
      <c r="E19" s="274"/>
      <c r="F19" s="274"/>
      <c r="G19" s="274"/>
      <c r="H19" s="274"/>
      <c r="J19" s="274"/>
      <c r="L19" s="274"/>
      <c r="N19" s="274"/>
      <c r="P19" s="274"/>
      <c r="R19" s="274"/>
      <c r="S19" s="274"/>
      <c r="T19" s="274"/>
      <c r="U19" s="274"/>
      <c r="V19" s="274"/>
      <c r="X19" s="274"/>
      <c r="Y19" s="274"/>
      <c r="Z19" s="274"/>
      <c r="AA19" s="274"/>
      <c r="AB19" s="274"/>
      <c r="AC19" s="274"/>
      <c r="AD19" s="534"/>
      <c r="AE19" s="13"/>
      <c r="AF19" s="13"/>
      <c r="AG19" s="14"/>
      <c r="AH19" s="13"/>
      <c r="AI19" s="79"/>
      <c r="AJ19" s="13"/>
      <c r="AK19" s="13"/>
      <c r="AL19" s="61"/>
      <c r="AM19" s="78"/>
      <c r="AN19" s="416"/>
      <c r="AO19" s="416"/>
      <c r="AP19" s="416"/>
      <c r="AQ19" s="416"/>
      <c r="AR19" s="416"/>
      <c r="AS19" s="416"/>
      <c r="AT19" s="416"/>
    </row>
    <row r="20" spans="1:46" ht="15" customHeight="1">
      <c r="A20" s="301"/>
      <c r="B20" s="432" t="s">
        <v>362</v>
      </c>
      <c r="C20" s="301"/>
      <c r="D20" s="274">
        <f>'Exhibit G State'!D20</f>
        <v>155.69999999999999</v>
      </c>
      <c r="E20" s="274"/>
      <c r="F20" s="274">
        <f>'Exhibit G State'!F20</f>
        <v>98.700000000000017</v>
      </c>
      <c r="G20" s="274"/>
      <c r="H20" s="274">
        <f>'Exhibit G State'!H20</f>
        <v>125.4</v>
      </c>
      <c r="J20" s="274">
        <f>'Exhibit G State'!J20</f>
        <v>100.80000000000001</v>
      </c>
      <c r="L20" s="274">
        <f>'Exhibit G State'!L20</f>
        <v>101.60000000000005</v>
      </c>
      <c r="N20" s="274">
        <f>'Exhibit G State'!N20</f>
        <v>123.99999999999991</v>
      </c>
      <c r="P20" s="274">
        <v>104.10000000000002</v>
      </c>
      <c r="R20" s="274">
        <v>104.39999999999998</v>
      </c>
      <c r="S20" s="274"/>
      <c r="T20" s="274">
        <v>126.10000000000002</v>
      </c>
      <c r="U20" s="274"/>
      <c r="V20" s="274">
        <v>113.20000000000005</v>
      </c>
      <c r="W20" s="274"/>
      <c r="X20" s="274">
        <f>'Exhibit G State'!X20</f>
        <v>95.200000000000045</v>
      </c>
      <c r="Y20" s="274"/>
      <c r="Z20" s="274"/>
      <c r="AA20" s="274"/>
      <c r="AB20" s="274">
        <v>0</v>
      </c>
      <c r="AC20" s="274"/>
      <c r="AD20" s="534"/>
      <c r="AE20" s="274">
        <f>ROUND(SUM(D20:Z20),1)</f>
        <v>1249.2</v>
      </c>
      <c r="AF20" s="274"/>
      <c r="AG20" s="534"/>
      <c r="AH20" s="297">
        <f>'Exhibit G State'!AF20</f>
        <v>1222.7</v>
      </c>
      <c r="AI20" s="530"/>
      <c r="AJ20" s="274"/>
      <c r="AK20" s="274">
        <f t="shared" ref="AK20:AK27" si="0">ROUND(SUM(+AE20-AH20),1)</f>
        <v>26.5</v>
      </c>
      <c r="AL20" s="11"/>
      <c r="AM20" s="276">
        <f t="shared" ref="AM20:AM26" si="1">ROUND(IF(AH20=0,0,AK20/ABS(AH20)),3)</f>
        <v>2.1999999999999999E-2</v>
      </c>
      <c r="AN20" s="416"/>
      <c r="AO20" s="416"/>
      <c r="AP20" s="416"/>
      <c r="AQ20" s="416"/>
      <c r="AR20" s="416"/>
      <c r="AS20" s="416"/>
      <c r="AT20" s="416"/>
    </row>
    <row r="21" spans="1:46" ht="15" customHeight="1">
      <c r="A21" s="301"/>
      <c r="B21" s="432" t="s">
        <v>363</v>
      </c>
      <c r="C21" s="301"/>
      <c r="D21" s="274">
        <f>'Exhibit G State'!D21</f>
        <v>2.1</v>
      </c>
      <c r="E21" s="274"/>
      <c r="F21" s="274">
        <f>'Exhibit G State'!F21</f>
        <v>0.10000000000000009</v>
      </c>
      <c r="G21" s="274"/>
      <c r="H21" s="274">
        <f>'Exhibit G State'!H21</f>
        <v>7.8000000000000007</v>
      </c>
      <c r="J21" s="274">
        <f>'Exhibit G State'!J21</f>
        <v>0</v>
      </c>
      <c r="L21" s="274">
        <f>'Exhibit G State'!L21</f>
        <v>0</v>
      </c>
      <c r="N21" s="274">
        <f>'Exhibit G State'!N21</f>
        <v>10.599999999999998</v>
      </c>
      <c r="P21" s="274">
        <v>0</v>
      </c>
      <c r="R21" s="274">
        <v>0</v>
      </c>
      <c r="S21" s="274"/>
      <c r="T21" s="274">
        <v>10.000000000000004</v>
      </c>
      <c r="U21" s="274"/>
      <c r="V21" s="274">
        <v>0</v>
      </c>
      <c r="W21" s="274"/>
      <c r="X21" s="274">
        <f>'Exhibit G State'!X21</f>
        <v>9.9999999999997868E-2</v>
      </c>
      <c r="Y21" s="274"/>
      <c r="Z21" s="274"/>
      <c r="AA21" s="274"/>
      <c r="AB21" s="274">
        <v>0</v>
      </c>
      <c r="AC21" s="274"/>
      <c r="AD21" s="534"/>
      <c r="AE21" s="274">
        <f>ROUND(SUM(D21:Z21),1)</f>
        <v>30.7</v>
      </c>
      <c r="AF21" s="274"/>
      <c r="AG21" s="534"/>
      <c r="AH21" s="297">
        <f>'Exhibit G State'!AF21</f>
        <v>27</v>
      </c>
      <c r="AI21" s="530"/>
      <c r="AJ21" s="274"/>
      <c r="AK21" s="274">
        <f t="shared" si="0"/>
        <v>3.7</v>
      </c>
      <c r="AL21" s="11"/>
      <c r="AM21" s="553">
        <f>ROUND(IF(AH21=0,1,AK21/ABS(AH21)),3)</f>
        <v>0.13700000000000001</v>
      </c>
      <c r="AN21" s="416"/>
      <c r="AO21" s="416"/>
      <c r="AP21" s="416"/>
      <c r="AQ21" s="416"/>
      <c r="AR21" s="416"/>
      <c r="AS21" s="416"/>
      <c r="AT21" s="416"/>
    </row>
    <row r="22" spans="1:46" ht="15" customHeight="1">
      <c r="A22" s="301"/>
      <c r="B22" s="432" t="s">
        <v>364</v>
      </c>
      <c r="C22" s="301"/>
      <c r="D22" s="274">
        <f>'Exhibit G State'!D22</f>
        <v>60.9</v>
      </c>
      <c r="E22" s="274"/>
      <c r="F22" s="274">
        <f>'Exhibit G State'!F22</f>
        <v>48.1</v>
      </c>
      <c r="G22" s="274"/>
      <c r="H22" s="274">
        <f>'Exhibit G State'!H22</f>
        <v>42.099999999999987</v>
      </c>
      <c r="J22" s="274">
        <f>'Exhibit G State'!J22</f>
        <v>62.1</v>
      </c>
      <c r="L22" s="274">
        <f>'Exhibit G State'!L22</f>
        <v>50.400000000000027</v>
      </c>
      <c r="N22" s="274">
        <f>'Exhibit G State'!N22</f>
        <v>47.500000000000007</v>
      </c>
      <c r="P22" s="274">
        <v>51.299999999999955</v>
      </c>
      <c r="R22" s="274">
        <v>40.5</v>
      </c>
      <c r="S22" s="274"/>
      <c r="T22" s="274">
        <v>45.600000000000023</v>
      </c>
      <c r="U22" s="274"/>
      <c r="V22" s="274">
        <v>48.399999999999977</v>
      </c>
      <c r="W22" s="274"/>
      <c r="X22" s="274">
        <f>'Exhibit G State'!X22</f>
        <v>31.799999999999955</v>
      </c>
      <c r="Y22" s="274"/>
      <c r="Z22" s="274"/>
      <c r="AA22" s="274"/>
      <c r="AB22" s="274">
        <v>0</v>
      </c>
      <c r="AC22" s="274"/>
      <c r="AD22" s="534"/>
      <c r="AE22" s="274">
        <f>ROUND(SUM(D22:Z22),1)</f>
        <v>528.70000000000005</v>
      </c>
      <c r="AF22" s="274"/>
      <c r="AG22" s="534"/>
      <c r="AH22" s="297">
        <f>'Exhibit G State'!AF22</f>
        <v>553.1</v>
      </c>
      <c r="AI22" s="530"/>
      <c r="AJ22" s="274"/>
      <c r="AK22" s="274">
        <f t="shared" si="0"/>
        <v>-24.4</v>
      </c>
      <c r="AL22" s="11"/>
      <c r="AM22" s="276">
        <f t="shared" si="1"/>
        <v>-4.3999999999999997E-2</v>
      </c>
      <c r="AN22" s="416"/>
      <c r="AO22" s="416"/>
      <c r="AP22" s="416"/>
      <c r="AQ22" s="416"/>
      <c r="AR22" s="416"/>
      <c r="AS22" s="416"/>
      <c r="AT22" s="416"/>
    </row>
    <row r="23" spans="1:46" ht="15" customHeight="1">
      <c r="A23" s="301"/>
      <c r="B23" s="294" t="s">
        <v>444</v>
      </c>
      <c r="C23" s="301"/>
      <c r="D23" s="274">
        <f>'Exhibit G State'!D23</f>
        <v>2.7</v>
      </c>
      <c r="E23" s="274"/>
      <c r="F23" s="274">
        <f>'Exhibit G State'!F23</f>
        <v>1.4999999999999991</v>
      </c>
      <c r="G23" s="274"/>
      <c r="H23" s="274">
        <f>'Exhibit G State'!H23</f>
        <v>18.900000000000002</v>
      </c>
      <c r="J23" s="274">
        <f>'Exhibit G State'!J23</f>
        <v>0.59999999999999787</v>
      </c>
      <c r="L23" s="274">
        <f>'Exhibit G State'!L23</f>
        <v>1.3000000000000007</v>
      </c>
      <c r="N23" s="274">
        <f>'Exhibit G State'!N23</f>
        <v>25.799999999999994</v>
      </c>
      <c r="P23" s="274">
        <v>2.1000000000000014</v>
      </c>
      <c r="R23" s="274">
        <v>1.2000000000000028</v>
      </c>
      <c r="S23" s="274"/>
      <c r="T23" s="274">
        <v>31.800000000000004</v>
      </c>
      <c r="U23" s="274"/>
      <c r="V23" s="274">
        <v>2.1999999999999886</v>
      </c>
      <c r="W23" s="274"/>
      <c r="X23" s="274">
        <f>'Exhibit G State'!X23</f>
        <v>1.7000000000000028</v>
      </c>
      <c r="Y23" s="274"/>
      <c r="Z23" s="274"/>
      <c r="AA23" s="274"/>
      <c r="AB23" s="274">
        <v>0</v>
      </c>
      <c r="AC23" s="274"/>
      <c r="AD23" s="534"/>
      <c r="AE23" s="274">
        <f t="shared" ref="AE23:AE27" si="2">ROUND(SUM(D23:Z23),1)</f>
        <v>89.8</v>
      </c>
      <c r="AF23" s="274"/>
      <c r="AG23" s="534"/>
      <c r="AH23" s="297">
        <f>'Exhibit G State'!AF23</f>
        <v>28.599999999999998</v>
      </c>
      <c r="AI23" s="530"/>
      <c r="AJ23" s="274"/>
      <c r="AK23" s="274">
        <f>ROUND(SUM(+AE23-AH23),1)</f>
        <v>61.2</v>
      </c>
      <c r="AL23" s="11"/>
      <c r="AM23" s="276">
        <f>ROUND(IF(AH23=0,1,AK23/ABS(AH23)),3)</f>
        <v>2.14</v>
      </c>
      <c r="AN23" s="416"/>
      <c r="AO23" s="416"/>
      <c r="AP23" s="416"/>
      <c r="AQ23" s="416"/>
      <c r="AR23" s="416"/>
      <c r="AS23" s="416"/>
      <c r="AT23" s="416"/>
    </row>
    <row r="24" spans="1:46" ht="15" customHeight="1">
      <c r="A24" s="301"/>
      <c r="B24" s="432" t="s">
        <v>366</v>
      </c>
      <c r="C24" s="301"/>
      <c r="D24" s="274">
        <f>'Exhibit G State'!D24</f>
        <v>7.9</v>
      </c>
      <c r="E24" s="274"/>
      <c r="F24" s="274">
        <f>'Exhibit G State'!F24</f>
        <v>8.1</v>
      </c>
      <c r="G24" s="274"/>
      <c r="H24" s="274">
        <f>'Exhibit G State'!H24</f>
        <v>9.6000000000000032</v>
      </c>
      <c r="J24" s="274">
        <f>'Exhibit G State'!J24</f>
        <v>8.699999999999994</v>
      </c>
      <c r="L24" s="274">
        <f>'Exhibit G State'!L24</f>
        <v>9.800000000000006</v>
      </c>
      <c r="N24" s="274">
        <f>'Exhibit G State'!N24</f>
        <v>9.1</v>
      </c>
      <c r="P24" s="274">
        <v>8.6999999999999957</v>
      </c>
      <c r="R24" s="274">
        <v>9.3000000000000043</v>
      </c>
      <c r="S24" s="274"/>
      <c r="T24" s="274">
        <v>8.0999999999999943</v>
      </c>
      <c r="U24" s="274"/>
      <c r="V24" s="274">
        <v>7.7000000000000028</v>
      </c>
      <c r="W24" s="274"/>
      <c r="X24" s="274">
        <f>'Exhibit G State'!X24</f>
        <v>8.5</v>
      </c>
      <c r="Y24" s="274"/>
      <c r="Z24" s="274"/>
      <c r="AA24" s="274"/>
      <c r="AB24" s="274">
        <v>0</v>
      </c>
      <c r="AC24" s="274"/>
      <c r="AD24" s="534"/>
      <c r="AE24" s="274">
        <f>ROUND(SUM(D24:Z24),1)</f>
        <v>95.5</v>
      </c>
      <c r="AF24" s="274"/>
      <c r="AG24" s="534"/>
      <c r="AH24" s="297">
        <f>'Exhibit G State'!AF24</f>
        <v>95.8</v>
      </c>
      <c r="AI24" s="530"/>
      <c r="AJ24" s="274"/>
      <c r="AK24" s="274">
        <f t="shared" si="0"/>
        <v>-0.3</v>
      </c>
      <c r="AL24" s="11"/>
      <c r="AM24" s="276">
        <f t="shared" si="1"/>
        <v>-3.0000000000000001E-3</v>
      </c>
      <c r="AN24" s="416"/>
      <c r="AO24" s="416"/>
      <c r="AP24" s="416"/>
      <c r="AQ24" s="416"/>
      <c r="AR24" s="416"/>
      <c r="AS24" s="416"/>
      <c r="AT24" s="416"/>
    </row>
    <row r="25" spans="1:46" ht="15" customHeight="1">
      <c r="A25" s="301"/>
      <c r="B25" s="432" t="s">
        <v>367</v>
      </c>
      <c r="C25" s="301"/>
      <c r="D25" s="274">
        <f>'Exhibit G State'!D25</f>
        <v>0</v>
      </c>
      <c r="E25" s="274"/>
      <c r="F25" s="274">
        <f>'Exhibit G State'!F25</f>
        <v>0</v>
      </c>
      <c r="G25" s="274"/>
      <c r="H25" s="274">
        <f>'Exhibit G State'!H25</f>
        <v>0.1</v>
      </c>
      <c r="J25" s="274">
        <f>'Exhibit G State'!J25</f>
        <v>0</v>
      </c>
      <c r="L25" s="274">
        <f>'Exhibit G State'!L25</f>
        <v>0</v>
      </c>
      <c r="N25" s="274">
        <f>'Exhibit G State'!N25</f>
        <v>0.1</v>
      </c>
      <c r="P25" s="274">
        <v>0</v>
      </c>
      <c r="R25" s="274">
        <v>0</v>
      </c>
      <c r="S25" s="274"/>
      <c r="T25" s="274">
        <v>0</v>
      </c>
      <c r="U25" s="274"/>
      <c r="V25" s="274">
        <v>0</v>
      </c>
      <c r="W25" s="274"/>
      <c r="X25" s="274">
        <f>'Exhibit G State'!X25</f>
        <v>0</v>
      </c>
      <c r="Y25" s="274"/>
      <c r="Z25" s="274"/>
      <c r="AA25" s="274"/>
      <c r="AB25" s="274">
        <v>0</v>
      </c>
      <c r="AC25" s="274"/>
      <c r="AD25" s="534"/>
      <c r="AE25" s="274">
        <f>ROUND(SUM(D25:Z25),1)</f>
        <v>0.2</v>
      </c>
      <c r="AF25" s="274"/>
      <c r="AG25" s="534"/>
      <c r="AH25" s="297">
        <f>'Exhibit G State'!AF25</f>
        <v>0.4</v>
      </c>
      <c r="AI25" s="530"/>
      <c r="AJ25" s="274"/>
      <c r="AK25" s="274">
        <f t="shared" ref="AK25" si="3">ROUND(SUM(+AE25-AH25),1)</f>
        <v>-0.2</v>
      </c>
      <c r="AL25" s="11"/>
      <c r="AM25" s="276">
        <f>ROUND(IF(AH25=0,1,AK25/ABS(AH25)),3)</f>
        <v>-0.5</v>
      </c>
      <c r="AN25" s="416"/>
      <c r="AO25" s="416"/>
      <c r="AP25" s="416"/>
      <c r="AQ25" s="416"/>
      <c r="AR25" s="416"/>
      <c r="AS25" s="416"/>
      <c r="AT25" s="416"/>
    </row>
    <row r="26" spans="1:46" ht="15" customHeight="1">
      <c r="A26" s="301"/>
      <c r="B26" s="432" t="s">
        <v>368</v>
      </c>
      <c r="C26" s="301"/>
      <c r="D26" s="274">
        <f>'Exhibit G State'!D26</f>
        <v>0</v>
      </c>
      <c r="E26" s="274"/>
      <c r="F26" s="274">
        <f>'Exhibit G State'!F26</f>
        <v>0</v>
      </c>
      <c r="G26" s="274"/>
      <c r="H26" s="274">
        <f>'Exhibit G State'!H26</f>
        <v>0</v>
      </c>
      <c r="J26" s="274">
        <f>'Exhibit G State'!J26</f>
        <v>0</v>
      </c>
      <c r="L26" s="274">
        <f>'Exhibit G State'!L26</f>
        <v>0</v>
      </c>
      <c r="N26" s="274">
        <f>'Exhibit G State'!N26</f>
        <v>0</v>
      </c>
      <c r="P26" s="274">
        <v>0</v>
      </c>
      <c r="R26" s="274">
        <v>0</v>
      </c>
      <c r="S26" s="274"/>
      <c r="T26" s="274">
        <v>0</v>
      </c>
      <c r="U26" s="274"/>
      <c r="V26" s="274">
        <v>0</v>
      </c>
      <c r="W26" s="274"/>
      <c r="X26" s="274">
        <f>'Exhibit G State'!X26</f>
        <v>0</v>
      </c>
      <c r="Y26" s="274"/>
      <c r="Z26" s="274"/>
      <c r="AA26" s="274"/>
      <c r="AB26" s="274">
        <v>0</v>
      </c>
      <c r="AC26" s="274"/>
      <c r="AD26" s="534"/>
      <c r="AE26" s="274">
        <f t="shared" si="2"/>
        <v>0</v>
      </c>
      <c r="AF26" s="274"/>
      <c r="AG26" s="534"/>
      <c r="AH26" s="297">
        <f>'Exhibit G State'!AF26</f>
        <v>0</v>
      </c>
      <c r="AI26" s="530"/>
      <c r="AJ26" s="274"/>
      <c r="AK26" s="274">
        <f t="shared" si="0"/>
        <v>0</v>
      </c>
      <c r="AL26" s="11"/>
      <c r="AM26" s="276">
        <f t="shared" si="1"/>
        <v>0</v>
      </c>
      <c r="AN26" s="416"/>
      <c r="AO26" s="416"/>
      <c r="AP26" s="416"/>
      <c r="AQ26" s="416"/>
      <c r="AR26" s="416"/>
      <c r="AS26" s="416"/>
      <c r="AT26" s="416"/>
    </row>
    <row r="27" spans="1:46" ht="15" customHeight="1">
      <c r="A27" s="301"/>
      <c r="B27" s="432" t="s">
        <v>369</v>
      </c>
      <c r="C27" s="301"/>
      <c r="D27" s="274">
        <f>'Exhibit G State'!D27</f>
        <v>0</v>
      </c>
      <c r="E27" s="274"/>
      <c r="F27" s="274">
        <f>'Exhibit G State'!F27</f>
        <v>0.1</v>
      </c>
      <c r="G27" s="274"/>
      <c r="H27" s="274">
        <f>'Exhibit G State'!H27</f>
        <v>0</v>
      </c>
      <c r="J27" s="274">
        <f>'Exhibit G State'!J27</f>
        <v>0.1</v>
      </c>
      <c r="L27" s="274">
        <f>'Exhibit G State'!L27</f>
        <v>0</v>
      </c>
      <c r="N27" s="274">
        <f>'Exhibit G State'!N27</f>
        <v>9.9999999999999978E-2</v>
      </c>
      <c r="P27" s="274">
        <v>0.2</v>
      </c>
      <c r="R27" s="274">
        <v>0.7</v>
      </c>
      <c r="S27" s="274"/>
      <c r="T27" s="274">
        <v>0.40000000000000013</v>
      </c>
      <c r="U27" s="274"/>
      <c r="V27" s="274">
        <v>0.19999999999999996</v>
      </c>
      <c r="W27" s="274"/>
      <c r="X27" s="274">
        <f>'Exhibit G State'!X27</f>
        <v>9.9999999999999867E-2</v>
      </c>
      <c r="Y27" s="274"/>
      <c r="Z27" s="274"/>
      <c r="AA27" s="274"/>
      <c r="AB27" s="274">
        <v>0</v>
      </c>
      <c r="AC27" s="274"/>
      <c r="AD27" s="534"/>
      <c r="AE27" s="274">
        <f t="shared" si="2"/>
        <v>1.9</v>
      </c>
      <c r="AF27" s="274"/>
      <c r="AG27" s="534"/>
      <c r="AH27" s="297">
        <f>'Exhibit G State'!AF27</f>
        <v>0.5</v>
      </c>
      <c r="AI27" s="530"/>
      <c r="AJ27" s="274"/>
      <c r="AK27" s="274">
        <f t="shared" si="0"/>
        <v>1.4</v>
      </c>
      <c r="AL27" s="11"/>
      <c r="AM27" s="553">
        <f>ROUND(IF(AH27=0,1,AK27/ABS(AH27)),3)</f>
        <v>2.8</v>
      </c>
      <c r="AN27" s="416"/>
      <c r="AO27" s="416"/>
      <c r="AP27" s="416"/>
      <c r="AQ27" s="416"/>
      <c r="AR27" s="416"/>
      <c r="AS27" s="416"/>
      <c r="AT27" s="416"/>
    </row>
    <row r="28" spans="1:46" ht="15" customHeight="1">
      <c r="A28" s="301"/>
      <c r="B28" s="294" t="s">
        <v>445</v>
      </c>
      <c r="C28" s="301"/>
      <c r="D28" s="274">
        <f>'Exhibit G State'!D28</f>
        <v>-0.1</v>
      </c>
      <c r="E28" s="274"/>
      <c r="F28" s="274">
        <f>'Exhibit G State'!F28</f>
        <v>0.6</v>
      </c>
      <c r="G28" s="274"/>
      <c r="H28" s="274">
        <f>'Exhibit G State'!H28</f>
        <v>4.5999999999999996</v>
      </c>
      <c r="J28" s="274">
        <f>'Exhibit G State'!J28</f>
        <v>0.10000000000000053</v>
      </c>
      <c r="L28" s="274">
        <f>'Exhibit G State'!L28</f>
        <v>0.70000000000000018</v>
      </c>
      <c r="N28" s="274">
        <f>'Exhibit G State'!N28</f>
        <v>5.2999999999999989</v>
      </c>
      <c r="P28" s="274">
        <v>-0.39999999999999858</v>
      </c>
      <c r="R28" s="274">
        <v>9.9999999999999645E-2</v>
      </c>
      <c r="S28" s="274"/>
      <c r="T28" s="274">
        <v>4.9000000000000004</v>
      </c>
      <c r="U28" s="274"/>
      <c r="V28" s="274">
        <v>9.9999999999999645E-2</v>
      </c>
      <c r="W28" s="274"/>
      <c r="X28" s="274">
        <f>'Exhibit G State'!X28</f>
        <v>0.70000000000000107</v>
      </c>
      <c r="Y28" s="274"/>
      <c r="Z28" s="274"/>
      <c r="AA28" s="274"/>
      <c r="AB28" s="274">
        <v>0</v>
      </c>
      <c r="AC28" s="274"/>
      <c r="AD28" s="534"/>
      <c r="AE28" s="274">
        <f t="shared" ref="AE28" si="4">ROUND(SUM(D28:Z28),1)</f>
        <v>16.600000000000001</v>
      </c>
      <c r="AF28" s="274"/>
      <c r="AG28" s="534"/>
      <c r="AH28" s="297">
        <f>'Exhibit G State'!AF28</f>
        <v>19</v>
      </c>
      <c r="AI28" s="530"/>
      <c r="AJ28" s="274"/>
      <c r="AK28" s="274">
        <f t="shared" ref="AK28" si="5">ROUND(SUM(+AE28-AH28),1)</f>
        <v>-2.4</v>
      </c>
      <c r="AL28" s="11"/>
      <c r="AM28" s="553">
        <f>ROUND(IF(AH28=0,1,AK28/ABS(AH28)),3)</f>
        <v>-0.126</v>
      </c>
      <c r="AN28" s="416"/>
      <c r="AO28" s="416"/>
      <c r="AP28" s="416"/>
      <c r="AQ28" s="416"/>
      <c r="AR28" s="416"/>
      <c r="AS28" s="416"/>
      <c r="AT28" s="416"/>
    </row>
    <row r="29" spans="1:46" s="61" customFormat="1" ht="15" customHeight="1">
      <c r="A29" s="3"/>
      <c r="B29" s="3" t="s">
        <v>488</v>
      </c>
      <c r="C29" s="3"/>
      <c r="D29" s="687">
        <f>ROUND(SUM(D20:D28),1)</f>
        <v>229.2</v>
      </c>
      <c r="E29"/>
      <c r="F29" s="687">
        <f>ROUND(SUM(F20:F28),1)</f>
        <v>157.19999999999999</v>
      </c>
      <c r="G29"/>
      <c r="H29" s="687">
        <f>ROUND(SUM(H20:H28),1)</f>
        <v>208.5</v>
      </c>
      <c r="I29"/>
      <c r="J29" s="687">
        <f>ROUND(SUM(J20:J28),1)</f>
        <v>172.4</v>
      </c>
      <c r="K29"/>
      <c r="L29" s="687">
        <f>ROUND(SUM(L20:L28),1)</f>
        <v>163.80000000000001</v>
      </c>
      <c r="M29"/>
      <c r="N29" s="687">
        <f>ROUND(SUM(N20:N28),1)</f>
        <v>222.5</v>
      </c>
      <c r="O29"/>
      <c r="P29" s="687">
        <f>ROUND(SUM(P20:P28),1)</f>
        <v>166</v>
      </c>
      <c r="Q29"/>
      <c r="R29" s="687">
        <f>ROUND(SUM(R20:R28),1)</f>
        <v>156.19999999999999</v>
      </c>
      <c r="S29"/>
      <c r="T29" s="687">
        <f>ROUND(SUM(T20:T28),1)</f>
        <v>226.9</v>
      </c>
      <c r="U29"/>
      <c r="V29" s="687">
        <f>ROUND(SUM(V20:V28),1)</f>
        <v>171.8</v>
      </c>
      <c r="W29"/>
      <c r="X29" s="687">
        <f>ROUND(SUM(X20:X28),1)</f>
        <v>138.1</v>
      </c>
      <c r="Y29"/>
      <c r="Z29" s="687">
        <f>ROUND(SUM(Z20:Z28),1)</f>
        <v>0</v>
      </c>
      <c r="AA29" s="13"/>
      <c r="AB29" s="687">
        <f>ROUND(SUM(AB20:AB28),1)</f>
        <v>0</v>
      </c>
      <c r="AC29" s="13"/>
      <c r="AD29" s="14"/>
      <c r="AE29" s="687">
        <f>ROUND(SUM(AE20:AE28),1)</f>
        <v>2012.6</v>
      </c>
      <c r="AF29" s="13"/>
      <c r="AG29" s="14"/>
      <c r="AH29" s="687">
        <f>ROUND(SUM(AH20:AH28),1)</f>
        <v>1947.1</v>
      </c>
      <c r="AI29" s="79"/>
      <c r="AJ29" s="13"/>
      <c r="AK29" s="687">
        <f>ROUND(SUM(AK20:AK28),1)</f>
        <v>65.5</v>
      </c>
      <c r="AM29" s="946">
        <f>ROUND(SUM(+AK29/AH29),3)</f>
        <v>3.4000000000000002E-2</v>
      </c>
      <c r="AN29" s="416"/>
      <c r="AO29" s="416"/>
      <c r="AP29" s="416"/>
      <c r="AQ29" s="416"/>
      <c r="AR29" s="416"/>
      <c r="AS29" s="416"/>
      <c r="AT29" s="416"/>
    </row>
    <row r="30" spans="1:46" ht="15" customHeight="1">
      <c r="A30" s="301"/>
      <c r="B30" s="423" t="s">
        <v>373</v>
      </c>
      <c r="C30" s="301"/>
      <c r="D30" s="274"/>
      <c r="F30" s="274"/>
      <c r="H30" s="274"/>
      <c r="J30" s="274"/>
      <c r="L30" s="274"/>
      <c r="N30" s="274"/>
      <c r="P30" s="274"/>
      <c r="R30" s="274"/>
      <c r="T30" s="274"/>
      <c r="V30" s="274"/>
      <c r="X30" s="274"/>
      <c r="Z30" s="274"/>
      <c r="AA30" s="274"/>
      <c r="AB30" s="274"/>
      <c r="AC30" s="274"/>
      <c r="AD30" s="534"/>
      <c r="AE30" s="274"/>
      <c r="AF30" s="274"/>
      <c r="AG30" s="534"/>
      <c r="AH30" s="274"/>
      <c r="AI30" s="530"/>
      <c r="AJ30" s="274"/>
      <c r="AK30" s="274"/>
      <c r="AL30" s="374"/>
      <c r="AM30" s="293"/>
      <c r="AN30" s="416"/>
      <c r="AO30" s="416"/>
      <c r="AP30" s="416"/>
      <c r="AQ30" s="416"/>
      <c r="AR30" s="416"/>
      <c r="AS30" s="416"/>
      <c r="AT30" s="416"/>
    </row>
    <row r="31" spans="1:46" ht="15" customHeight="1">
      <c r="A31" s="301"/>
      <c r="B31" s="432" t="s">
        <v>374</v>
      </c>
      <c r="C31" s="301"/>
      <c r="D31" s="274">
        <f>'Exhibit G State'!D31</f>
        <v>242.7</v>
      </c>
      <c r="E31" s="274"/>
      <c r="F31" s="274">
        <f>'Exhibit G State'!F31</f>
        <v>63.5</v>
      </c>
      <c r="G31" s="274"/>
      <c r="H31" s="274">
        <f>'Exhibit G State'!H31</f>
        <v>307.3</v>
      </c>
      <c r="J31" s="274">
        <f>'Exhibit G State'!J31</f>
        <v>67.100000000000023</v>
      </c>
      <c r="L31" s="274">
        <f>'Exhibit G State'!L31</f>
        <v>31.5</v>
      </c>
      <c r="N31" s="274">
        <f>'Exhibit G State'!N31</f>
        <v>274.50000000000006</v>
      </c>
      <c r="P31" s="274">
        <v>95.999999999999773</v>
      </c>
      <c r="R31" s="274">
        <v>28.800000000000182</v>
      </c>
      <c r="S31" s="274"/>
      <c r="T31" s="274">
        <v>299</v>
      </c>
      <c r="U31" s="274"/>
      <c r="V31" s="274">
        <v>69.799999999999955</v>
      </c>
      <c r="W31" s="274"/>
      <c r="X31" s="274">
        <f>'Exhibit G State'!X31</f>
        <v>-16.600000000000136</v>
      </c>
      <c r="Y31" s="274"/>
      <c r="Z31" s="274"/>
      <c r="AA31" s="274"/>
      <c r="AB31" s="274">
        <v>0</v>
      </c>
      <c r="AC31" s="274"/>
      <c r="AD31" s="534"/>
      <c r="AE31" s="274">
        <f>ROUND(SUM(D31:Z31),1)</f>
        <v>1463.6</v>
      </c>
      <c r="AF31" s="274"/>
      <c r="AG31" s="534"/>
      <c r="AH31" s="274">
        <f>'Exhibit G State'!AF31</f>
        <v>1365.3</v>
      </c>
      <c r="AI31" s="530"/>
      <c r="AJ31" s="274"/>
      <c r="AK31" s="274">
        <f>ROUND(SUM(+AE31-AH31),1)</f>
        <v>98.3</v>
      </c>
      <c r="AL31" s="11"/>
      <c r="AM31" s="276">
        <f>ROUND(IF(AH31=0,0,AK31/ABS(AH31)),3)</f>
        <v>7.1999999999999995E-2</v>
      </c>
      <c r="AN31" s="416"/>
      <c r="AO31" s="416"/>
      <c r="AP31" s="416"/>
      <c r="AQ31" s="416"/>
      <c r="AR31" s="416"/>
      <c r="AS31" s="416"/>
      <c r="AT31" s="416"/>
    </row>
    <row r="32" spans="1:46" ht="15" customHeight="1">
      <c r="A32" s="301"/>
      <c r="B32" s="432" t="s">
        <v>375</v>
      </c>
      <c r="C32" s="301"/>
      <c r="D32" s="274">
        <f>'Exhibit G State'!D32</f>
        <v>15.8</v>
      </c>
      <c r="E32" s="274"/>
      <c r="F32" s="274">
        <f>'Exhibit G State'!F32</f>
        <v>1.1999999999999993</v>
      </c>
      <c r="G32" s="274"/>
      <c r="H32" s="274">
        <f>'Exhibit G State'!H32</f>
        <v>16.299999999999997</v>
      </c>
      <c r="J32" s="274">
        <f>'Exhibit G State'!J32</f>
        <v>-0.19999999999999574</v>
      </c>
      <c r="L32" s="274">
        <f>'Exhibit G State'!L32</f>
        <v>-2.1000000000000014</v>
      </c>
      <c r="N32" s="274">
        <f>'Exhibit G State'!N32</f>
        <v>23.200000000000003</v>
      </c>
      <c r="P32" s="274">
        <v>-0.40000000000000568</v>
      </c>
      <c r="R32" s="274">
        <v>0.20000000000000284</v>
      </c>
      <c r="S32" s="274"/>
      <c r="T32" s="274">
        <v>15</v>
      </c>
      <c r="U32" s="274"/>
      <c r="V32" s="274">
        <v>0</v>
      </c>
      <c r="W32" s="274"/>
      <c r="X32" s="274">
        <f>'Exhibit G State'!X32</f>
        <v>1</v>
      </c>
      <c r="Y32" s="274"/>
      <c r="Z32" s="274"/>
      <c r="AA32" s="274"/>
      <c r="AB32" s="274">
        <v>0</v>
      </c>
      <c r="AC32" s="274"/>
      <c r="AD32" s="534"/>
      <c r="AE32" s="274">
        <f>ROUND(SUM(D32:Z32),1)</f>
        <v>70</v>
      </c>
      <c r="AF32" s="274"/>
      <c r="AG32" s="534"/>
      <c r="AH32" s="274">
        <f>'Exhibit G State'!AF32</f>
        <v>95.3</v>
      </c>
      <c r="AI32" s="530"/>
      <c r="AJ32" s="274"/>
      <c r="AK32" s="274">
        <f>ROUND(SUM(+AE32-AH32),1)</f>
        <v>-25.3</v>
      </c>
      <c r="AL32" s="11"/>
      <c r="AM32" s="276">
        <f>ROUND(IF(AH32=0,0,AK32/ABS(AH32)),3)</f>
        <v>-0.26500000000000001</v>
      </c>
      <c r="AN32" s="416"/>
      <c r="AO32" s="416"/>
      <c r="AP32" s="416"/>
      <c r="AQ32" s="416"/>
      <c r="AR32" s="416"/>
      <c r="AS32" s="416"/>
      <c r="AT32" s="416"/>
    </row>
    <row r="33" spans="1:46" ht="15" customHeight="1">
      <c r="A33" s="301"/>
      <c r="B33" s="432" t="s">
        <v>376</v>
      </c>
      <c r="C33" s="301"/>
      <c r="D33" s="274">
        <f>'Exhibit G State'!D33</f>
        <v>16.8</v>
      </c>
      <c r="E33" s="274"/>
      <c r="F33" s="274">
        <f>'Exhibit G State'!F33</f>
        <v>-2.3000000000000007</v>
      </c>
      <c r="G33" s="274"/>
      <c r="H33" s="274">
        <f>'Exhibit G State'!H33</f>
        <v>62.5</v>
      </c>
      <c r="J33" s="274">
        <f>'Exhibit G State'!J33</f>
        <v>0.20000000000000284</v>
      </c>
      <c r="L33" s="274">
        <f>'Exhibit G State'!L33</f>
        <v>2</v>
      </c>
      <c r="N33" s="274">
        <f>'Exhibit G State'!N33</f>
        <v>62.100000000000009</v>
      </c>
      <c r="P33" s="274">
        <v>1.5</v>
      </c>
      <c r="R33" s="274">
        <v>0.19999999999998863</v>
      </c>
      <c r="S33" s="274"/>
      <c r="T33" s="274">
        <v>55.800000000000011</v>
      </c>
      <c r="U33" s="274"/>
      <c r="V33" s="274">
        <v>1.5999999999999943</v>
      </c>
      <c r="W33" s="274"/>
      <c r="X33" s="274">
        <f>'Exhibit G State'!X33</f>
        <v>1.1999999999999886</v>
      </c>
      <c r="Y33" s="274"/>
      <c r="Z33" s="274"/>
      <c r="AA33" s="274"/>
      <c r="AB33" s="274">
        <v>0</v>
      </c>
      <c r="AC33" s="274"/>
      <c r="AD33" s="534"/>
      <c r="AE33" s="274">
        <f>ROUND(SUM(D33:Z33),1)</f>
        <v>201.6</v>
      </c>
      <c r="AF33" s="274"/>
      <c r="AG33" s="534"/>
      <c r="AH33" s="274">
        <f>'Exhibit G State'!AF33</f>
        <v>203.70000000000002</v>
      </c>
      <c r="AI33" s="530"/>
      <c r="AJ33" s="274"/>
      <c r="AK33" s="274">
        <f>ROUND(SUM(+AE33-AH33),1)</f>
        <v>-2.1</v>
      </c>
      <c r="AL33" s="11"/>
      <c r="AM33" s="553">
        <f>ROUND(IF(AH33=0,0,AK33/ABS(AH33)),3)</f>
        <v>-0.01</v>
      </c>
      <c r="AN33" s="416"/>
      <c r="AO33" s="416"/>
      <c r="AP33" s="416"/>
      <c r="AQ33" s="416"/>
      <c r="AR33" s="416"/>
      <c r="AS33" s="416"/>
      <c r="AT33" s="416"/>
    </row>
    <row r="34" spans="1:46" ht="15" customHeight="1">
      <c r="A34" s="301"/>
      <c r="B34" s="432" t="s">
        <v>377</v>
      </c>
      <c r="C34" s="301"/>
      <c r="D34" s="274">
        <f>'Exhibit G State'!D34</f>
        <v>0.1</v>
      </c>
      <c r="E34" s="274"/>
      <c r="F34" s="274">
        <f>'Exhibit G State'!F34</f>
        <v>0</v>
      </c>
      <c r="G34" s="274"/>
      <c r="H34" s="274">
        <f>'Exhibit G State'!H34</f>
        <v>0.4</v>
      </c>
      <c r="J34" s="274">
        <f>'Exhibit G State'!J34</f>
        <v>-1.1000000000000001</v>
      </c>
      <c r="L34" s="274">
        <f>'Exhibit G State'!L34</f>
        <v>0.20000000000000007</v>
      </c>
      <c r="N34" s="274">
        <f>'Exhibit G State'!N34</f>
        <v>0</v>
      </c>
      <c r="P34" s="274">
        <v>0</v>
      </c>
      <c r="R34" s="274">
        <v>0</v>
      </c>
      <c r="S34" s="274"/>
      <c r="T34" s="274">
        <v>0</v>
      </c>
      <c r="U34" s="274"/>
      <c r="V34" s="274">
        <v>55.8</v>
      </c>
      <c r="W34" s="274"/>
      <c r="X34" s="274">
        <f>'Exhibit G State'!X34</f>
        <v>0</v>
      </c>
      <c r="Y34" s="274"/>
      <c r="Z34" s="274"/>
      <c r="AA34" s="274"/>
      <c r="AB34" s="274">
        <v>0</v>
      </c>
      <c r="AC34" s="274"/>
      <c r="AD34" s="534"/>
      <c r="AE34" s="274">
        <f>ROUND(SUM(D34:Z34),1)</f>
        <v>55.4</v>
      </c>
      <c r="AF34" s="274"/>
      <c r="AG34" s="534"/>
      <c r="AH34" s="274">
        <f>'Exhibit G State'!AF34</f>
        <v>0.8</v>
      </c>
      <c r="AI34" s="530"/>
      <c r="AJ34" s="274"/>
      <c r="AK34" s="274">
        <f>ROUND(SUM(+AE34-AH34),1)</f>
        <v>54.6</v>
      </c>
      <c r="AL34" s="11"/>
      <c r="AM34" s="553">
        <f>ROUND(IF(AH34=0,1,AK34/ABS(AH34)),3)</f>
        <v>68.25</v>
      </c>
      <c r="AN34" s="416"/>
      <c r="AO34" s="416"/>
      <c r="AP34" s="416"/>
      <c r="AQ34" s="416"/>
      <c r="AR34" s="416"/>
      <c r="AS34" s="416"/>
      <c r="AT34" s="416"/>
    </row>
    <row r="35" spans="1:46" ht="15" customHeight="1">
      <c r="A35" s="301"/>
      <c r="B35" s="432" t="s">
        <v>379</v>
      </c>
      <c r="C35" s="301"/>
      <c r="D35" s="274">
        <f>'Exhibit G State'!D35</f>
        <v>36.700000000000003</v>
      </c>
      <c r="E35" s="274"/>
      <c r="F35" s="274">
        <f>'Exhibit G State'!F35</f>
        <v>39.5</v>
      </c>
      <c r="G35" s="274"/>
      <c r="H35" s="274">
        <f>'Exhibit G State'!H35</f>
        <v>42.7</v>
      </c>
      <c r="J35" s="274">
        <f>'Exhibit G State'!J35</f>
        <v>41</v>
      </c>
      <c r="L35" s="274">
        <f>'Exhibit G State'!L35</f>
        <v>43.499999999999986</v>
      </c>
      <c r="N35" s="274">
        <f>'Exhibit G State'!N35</f>
        <v>40.699999999999989</v>
      </c>
      <c r="P35" s="274">
        <v>38.800000000000011</v>
      </c>
      <c r="R35" s="274">
        <v>40.700000000000045</v>
      </c>
      <c r="S35" s="274"/>
      <c r="T35" s="274">
        <v>37.299999999999955</v>
      </c>
      <c r="U35" s="274"/>
      <c r="V35" s="274">
        <v>34</v>
      </c>
      <c r="W35" s="274"/>
      <c r="X35" s="274">
        <f>'Exhibit G State'!X35</f>
        <v>36.5</v>
      </c>
      <c r="Y35" s="274"/>
      <c r="Z35" s="274"/>
      <c r="AA35" s="274"/>
      <c r="AB35" s="274">
        <v>0</v>
      </c>
      <c r="AC35" s="274"/>
      <c r="AD35" s="534"/>
      <c r="AE35" s="274">
        <f>ROUND(SUM(D35:Z35),1)</f>
        <v>431.4</v>
      </c>
      <c r="AF35" s="274"/>
      <c r="AG35" s="534"/>
      <c r="AH35" s="274">
        <f>'Exhibit G State'!AF35</f>
        <v>451.6</v>
      </c>
      <c r="AI35" s="530"/>
      <c r="AJ35" s="274"/>
      <c r="AK35" s="274">
        <f>ROUND(SUM(+AE35-AH35),1)</f>
        <v>-20.2</v>
      </c>
      <c r="AL35" s="11"/>
      <c r="AM35" s="276">
        <f>ROUND(IF(AH35=0,0,AK35/ABS(AH35)),3)</f>
        <v>-4.4999999999999998E-2</v>
      </c>
      <c r="AN35" s="416"/>
      <c r="AO35" s="416"/>
      <c r="AP35" s="416"/>
      <c r="AQ35" s="416"/>
      <c r="AR35" s="416"/>
      <c r="AS35" s="416"/>
      <c r="AT35" s="416"/>
    </row>
    <row r="36" spans="1:46" s="61" customFormat="1" ht="15" customHeight="1">
      <c r="A36" s="3"/>
      <c r="B36" s="3" t="s">
        <v>489</v>
      </c>
      <c r="C36" s="3"/>
      <c r="D36" s="687">
        <f t="shared" ref="D36:F36" si="6">ROUND(SUM(D31:D35),1)</f>
        <v>312.10000000000002</v>
      </c>
      <c r="E36"/>
      <c r="F36" s="687">
        <f t="shared" si="6"/>
        <v>101.9</v>
      </c>
      <c r="G36"/>
      <c r="H36" s="687">
        <f>ROUND(SUM(H31:H35),1)</f>
        <v>429.2</v>
      </c>
      <c r="I36"/>
      <c r="J36" s="687">
        <f>ROUND(SUM(J31:J35),1)</f>
        <v>107</v>
      </c>
      <c r="K36"/>
      <c r="L36" s="687">
        <f>ROUND(SUM(L31:L35),1)</f>
        <v>75.099999999999994</v>
      </c>
      <c r="M36"/>
      <c r="N36" s="687">
        <f>ROUND(SUM(N31:N35),1)</f>
        <v>400.5</v>
      </c>
      <c r="O36"/>
      <c r="P36" s="687">
        <f>ROUND(SUM(P31:P35),1)</f>
        <v>135.9</v>
      </c>
      <c r="Q36"/>
      <c r="R36" s="687">
        <f>ROUND(SUM(R31:R35),1)</f>
        <v>69.900000000000006</v>
      </c>
      <c r="S36"/>
      <c r="T36" s="687">
        <f>ROUND(SUM(T31:T35),1)</f>
        <v>407.1</v>
      </c>
      <c r="U36"/>
      <c r="V36" s="687">
        <f>ROUND(SUM(V31:V35),1)</f>
        <v>161.19999999999999</v>
      </c>
      <c r="W36"/>
      <c r="X36" s="687">
        <f>ROUND(SUM(X31:X35),1)</f>
        <v>22.1</v>
      </c>
      <c r="Y36"/>
      <c r="Z36" s="687">
        <f>ROUND(SUM(Z31:Z35),1)</f>
        <v>0</v>
      </c>
      <c r="AA36" s="13"/>
      <c r="AB36" s="687">
        <f>SUM(AB31:AB35)</f>
        <v>0</v>
      </c>
      <c r="AC36" s="13"/>
      <c r="AD36" s="14"/>
      <c r="AE36" s="687">
        <f>ROUND(SUM(AE31:AE35),1)</f>
        <v>2222</v>
      </c>
      <c r="AF36" s="13"/>
      <c r="AG36" s="14"/>
      <c r="AH36" s="687">
        <f>ROUND(SUM(AH31:AH35),1)</f>
        <v>2116.6999999999998</v>
      </c>
      <c r="AI36" s="79"/>
      <c r="AJ36" s="13"/>
      <c r="AK36" s="687">
        <f>ROUND(SUM(AK31:AK35),1)</f>
        <v>105.3</v>
      </c>
      <c r="AM36" s="946">
        <f>ROUND(SUM(+AK36/AH36),3)</f>
        <v>0.05</v>
      </c>
      <c r="AN36" s="416"/>
      <c r="AO36" s="416"/>
      <c r="AP36" s="416"/>
      <c r="AQ36" s="416"/>
      <c r="AR36" s="416"/>
      <c r="AS36" s="416"/>
      <c r="AT36" s="416"/>
    </row>
    <row r="37" spans="1:46" ht="15" customHeight="1">
      <c r="A37" s="301"/>
      <c r="B37"/>
      <c r="C37" s="301"/>
      <c r="D37" s="274"/>
      <c r="F37" s="274"/>
      <c r="H37" s="274"/>
      <c r="J37" s="274"/>
      <c r="L37" s="274"/>
      <c r="N37" s="274"/>
      <c r="P37" s="274"/>
      <c r="R37" s="274"/>
      <c r="T37" s="274"/>
      <c r="V37" s="274"/>
      <c r="X37" s="274"/>
      <c r="Z37" s="274"/>
      <c r="AA37" s="274"/>
      <c r="AB37" s="274"/>
      <c r="AC37" s="274"/>
      <c r="AD37" s="534"/>
      <c r="AE37" s="274"/>
      <c r="AF37" s="274"/>
      <c r="AG37" s="534"/>
      <c r="AH37" s="274"/>
      <c r="AI37" s="530"/>
      <c r="AJ37" s="274"/>
      <c r="AK37" s="274"/>
      <c r="AL37" s="374"/>
      <c r="AM37" s="293"/>
      <c r="AN37" s="416"/>
      <c r="AO37" s="416"/>
      <c r="AP37" s="416"/>
      <c r="AQ37" s="416"/>
      <c r="AR37" s="416"/>
      <c r="AS37" s="416"/>
      <c r="AT37" s="416"/>
    </row>
    <row r="38" spans="1:46" ht="15" customHeight="1">
      <c r="A38" s="301"/>
      <c r="B38" s="3" t="s">
        <v>490</v>
      </c>
      <c r="C38" s="301"/>
      <c r="D38" s="367">
        <f>ROUND(SUM(D17+D29+D36),1)</f>
        <v>541.29999999999995</v>
      </c>
      <c r="F38" s="367">
        <f>ROUND(SUM(F17+F29+F36),1)</f>
        <v>259.10000000000002</v>
      </c>
      <c r="H38" s="367">
        <f>ROUND(SUM(H17+H29+H36),1)</f>
        <v>637.70000000000005</v>
      </c>
      <c r="J38" s="367">
        <f>ROUND(SUM(J17+J29+J36),1)</f>
        <v>279.39999999999998</v>
      </c>
      <c r="L38" s="367">
        <f>ROUND(SUM(L17+L29+L36),1)</f>
        <v>238.9</v>
      </c>
      <c r="N38" s="367">
        <f>ROUND(SUM(N17+N29+N36),1)</f>
        <v>623</v>
      </c>
      <c r="P38" s="367">
        <f>ROUND(SUM(P17+P29+P36),1)</f>
        <v>301.89999999999998</v>
      </c>
      <c r="R38" s="367">
        <f>ROUND(SUM(R17+R29+R36),1)</f>
        <v>226.1</v>
      </c>
      <c r="T38" s="367">
        <f>ROUND(SUM(T17+T29+T36),1)</f>
        <v>635.1</v>
      </c>
      <c r="V38" s="367">
        <f>ROUND(SUM(V17+V29+V36),1)</f>
        <v>1776</v>
      </c>
      <c r="X38" s="367">
        <f>ROUND(SUM(X17+X29+X36),1)</f>
        <v>160.19999999999999</v>
      </c>
      <c r="Z38" s="367">
        <f>ROUND(SUM(Z17+Z29+Z36),1)</f>
        <v>0</v>
      </c>
      <c r="AA38" s="13"/>
      <c r="AB38" s="367">
        <f>ROUND(SUM(AB17+AB29+AB36),1)</f>
        <v>0</v>
      </c>
      <c r="AC38" s="13"/>
      <c r="AD38" s="534"/>
      <c r="AE38" s="367">
        <f>ROUND(SUM(AE17+AE29+AE36),1)</f>
        <v>5678.7</v>
      </c>
      <c r="AF38" s="274"/>
      <c r="AG38" s="534"/>
      <c r="AH38" s="367">
        <f>ROUND(SUM(AH17+AH29+AH36),1)</f>
        <v>5651.4</v>
      </c>
      <c r="AI38" s="530"/>
      <c r="AJ38" s="274"/>
      <c r="AK38" s="367">
        <f>ROUND(SUM(AK17+AK29+AK36),1)</f>
        <v>27.3</v>
      </c>
      <c r="AL38" s="374"/>
      <c r="AM38" s="378">
        <f>ROUND(SUM(+AK38/AH38),3)</f>
        <v>5.0000000000000001E-3</v>
      </c>
      <c r="AN38" s="416"/>
      <c r="AO38" s="416"/>
      <c r="AP38" s="416"/>
      <c r="AQ38" s="416"/>
      <c r="AR38" s="416"/>
      <c r="AS38" s="416"/>
      <c r="AT38" s="416"/>
    </row>
    <row r="39" spans="1:46" ht="15" customHeight="1">
      <c r="A39" s="301"/>
      <c r="B39" s="301"/>
      <c r="C39" s="301"/>
      <c r="D39" s="11"/>
      <c r="F39" s="11"/>
      <c r="H39" s="297"/>
      <c r="J39" s="297"/>
      <c r="L39" s="297"/>
      <c r="N39" s="297"/>
      <c r="P39" s="297"/>
      <c r="R39" s="297"/>
      <c r="T39" s="297"/>
      <c r="V39" s="297"/>
      <c r="X39" s="297"/>
      <c r="Z39" s="297"/>
      <c r="AA39" s="11"/>
      <c r="AB39" s="274"/>
      <c r="AC39" s="274"/>
      <c r="AD39" s="534"/>
      <c r="AE39" s="274"/>
      <c r="AF39" s="274"/>
      <c r="AG39" s="534"/>
      <c r="AH39" s="298"/>
      <c r="AI39" s="1062"/>
      <c r="AJ39" s="274"/>
      <c r="AK39" s="274"/>
      <c r="AL39" s="11"/>
      <c r="AM39" s="293"/>
      <c r="AN39" s="416"/>
      <c r="AO39" s="416"/>
      <c r="AP39" s="416"/>
      <c r="AQ39" s="416"/>
      <c r="AR39" s="416"/>
      <c r="AS39" s="416"/>
      <c r="AT39" s="416"/>
    </row>
    <row r="40" spans="1:46" ht="15" customHeight="1">
      <c r="A40" s="301"/>
      <c r="B40" s="1248" t="s">
        <v>390</v>
      </c>
      <c r="C40" s="301"/>
      <c r="D40" s="11"/>
      <c r="F40" s="11"/>
      <c r="H40" s="297"/>
      <c r="J40" s="297"/>
      <c r="L40" s="297"/>
      <c r="N40" s="297"/>
      <c r="P40" s="297"/>
      <c r="R40" s="297"/>
      <c r="T40" s="297"/>
      <c r="V40" s="297"/>
      <c r="X40" s="297"/>
      <c r="Z40" s="297"/>
      <c r="AA40" s="11"/>
      <c r="AB40" s="274"/>
      <c r="AC40" s="274"/>
      <c r="AD40" s="534"/>
      <c r="AE40" s="274"/>
      <c r="AF40" s="274"/>
      <c r="AG40" s="534"/>
      <c r="AH40" s="298"/>
      <c r="AI40" s="1062"/>
      <c r="AJ40" s="274"/>
      <c r="AK40" s="274"/>
      <c r="AL40" s="11"/>
      <c r="AM40" s="293"/>
      <c r="AN40" s="416"/>
      <c r="AO40" s="416"/>
      <c r="AP40" s="416"/>
      <c r="AQ40" s="416"/>
      <c r="AR40" s="416"/>
      <c r="AS40" s="416"/>
      <c r="AT40" s="416"/>
    </row>
    <row r="41" spans="1:46" ht="15" customHeight="1">
      <c r="A41" s="301"/>
      <c r="B41" s="360" t="s">
        <v>391</v>
      </c>
      <c r="C41" s="301"/>
      <c r="D41" s="11"/>
      <c r="F41" s="11"/>
      <c r="H41" s="297"/>
      <c r="J41" s="297"/>
      <c r="L41" s="297"/>
      <c r="N41" s="297"/>
      <c r="P41" s="297"/>
      <c r="R41" s="297"/>
      <c r="T41" s="297"/>
      <c r="V41" s="297"/>
      <c r="X41" s="297"/>
      <c r="Z41" s="297"/>
      <c r="AA41" s="11"/>
      <c r="AB41" s="274"/>
      <c r="AC41" s="274"/>
      <c r="AD41" s="534"/>
      <c r="AE41" s="274"/>
      <c r="AF41" s="274"/>
      <c r="AG41" s="534"/>
      <c r="AH41" s="298"/>
      <c r="AI41" s="1062"/>
      <c r="AJ41" s="274"/>
      <c r="AK41" s="274"/>
      <c r="AL41" s="11"/>
      <c r="AM41" s="293"/>
      <c r="AN41" s="416"/>
      <c r="AO41" s="416"/>
      <c r="AP41" s="416"/>
      <c r="AQ41" s="416"/>
      <c r="AR41" s="416"/>
      <c r="AS41" s="416"/>
      <c r="AT41" s="416"/>
    </row>
    <row r="42" spans="1:46" ht="15" customHeight="1">
      <c r="A42" s="301"/>
      <c r="B42" s="360" t="s">
        <v>1429</v>
      </c>
      <c r="C42" s="301"/>
      <c r="D42" s="297">
        <f>'Exhibit G State'!D42+'Exhibit G Federal'!D19</f>
        <v>1.1000000000000001</v>
      </c>
      <c r="E42" s="297"/>
      <c r="F42" s="297">
        <f>'Exhibit G State'!F42+'Exhibit G Federal'!F19</f>
        <v>1</v>
      </c>
      <c r="G42" s="297"/>
      <c r="H42" s="297">
        <f>'Exhibit G State'!H42+'Exhibit G Federal'!H19</f>
        <v>1</v>
      </c>
      <c r="J42" s="297">
        <f>'Exhibit G State'!J42+'Exhibit G Federal'!J19</f>
        <v>1.4</v>
      </c>
      <c r="L42" s="297">
        <f>'Exhibit G State'!L42+'Exhibit G Federal'!L19</f>
        <v>1.0000000000000004</v>
      </c>
      <c r="N42" s="297">
        <f>'Exhibit G State'!N42+'Exhibit G Federal'!N19</f>
        <v>1.0999999999999996</v>
      </c>
      <c r="P42" s="297">
        <v>1</v>
      </c>
      <c r="R42" s="297">
        <v>1.0999999999999996</v>
      </c>
      <c r="S42" s="297"/>
      <c r="T42" s="297">
        <v>1.4000000000000004</v>
      </c>
      <c r="U42" s="297"/>
      <c r="V42" s="297">
        <v>2.3000000000000007</v>
      </c>
      <c r="W42" s="297"/>
      <c r="X42" s="297">
        <f>'Exhibit G State'!X42+'Exhibit G Federal'!X19</f>
        <v>8.2000000000000011</v>
      </c>
      <c r="Y42" s="297"/>
      <c r="Z42" s="297"/>
      <c r="AA42" s="297"/>
      <c r="AB42" s="274">
        <v>0</v>
      </c>
      <c r="AC42" s="274"/>
      <c r="AD42" s="534"/>
      <c r="AE42" s="274">
        <f t="shared" ref="AE42:AE84" si="7">ROUND(SUM(D42:Z42),1)</f>
        <v>20.6</v>
      </c>
      <c r="AF42" s="274"/>
      <c r="AG42" s="534"/>
      <c r="AH42" s="297">
        <f>'Exhibit G State'!AF42+'Exhibit G Federal'!AF19</f>
        <v>16.399999999999999</v>
      </c>
      <c r="AI42" s="1062"/>
      <c r="AJ42" s="274"/>
      <c r="AK42" s="274">
        <f>ROUND(SUM(+AE42-AH42),1)</f>
        <v>4.2</v>
      </c>
      <c r="AL42" s="11"/>
      <c r="AM42" s="276">
        <f>ROUND(IF(AH42=0,0,AK42/ABS(AH42)),3)</f>
        <v>0.25600000000000001</v>
      </c>
      <c r="AN42" s="416"/>
      <c r="AO42" s="416"/>
      <c r="AP42" s="416"/>
      <c r="AQ42" s="416"/>
      <c r="AR42" s="416"/>
      <c r="AS42" s="416"/>
      <c r="AT42" s="416"/>
    </row>
    <row r="43" spans="1:46" ht="15" customHeight="1">
      <c r="A43" s="301"/>
      <c r="B43" s="360" t="s">
        <v>394</v>
      </c>
      <c r="C43" s="301"/>
      <c r="D43" s="297"/>
      <c r="E43" s="297"/>
      <c r="F43" s="297"/>
      <c r="G43" s="297"/>
      <c r="H43" s="297"/>
      <c r="J43" s="297"/>
      <c r="L43" s="297"/>
      <c r="N43" s="297"/>
      <c r="P43" s="297"/>
      <c r="R43" s="297"/>
      <c r="S43" s="274"/>
      <c r="T43" s="297"/>
      <c r="U43" s="274"/>
      <c r="V43" s="297"/>
      <c r="W43" s="274"/>
      <c r="X43" s="297"/>
      <c r="Y43" s="274"/>
      <c r="Z43" s="297"/>
      <c r="AA43" s="297"/>
      <c r="AB43" s="274"/>
      <c r="AC43" s="274"/>
      <c r="AD43" s="534"/>
      <c r="AE43" s="274"/>
      <c r="AF43" s="274"/>
      <c r="AG43" s="534"/>
      <c r="AH43" s="297"/>
      <c r="AI43" s="1062"/>
      <c r="AJ43" s="274"/>
      <c r="AK43" s="274"/>
      <c r="AL43" s="11"/>
      <c r="AM43" s="293"/>
      <c r="AN43" s="416"/>
      <c r="AO43" s="416"/>
      <c r="AP43" s="416"/>
      <c r="AQ43" s="416"/>
      <c r="AR43" s="416"/>
      <c r="AS43" s="416"/>
      <c r="AT43" s="416"/>
    </row>
    <row r="44" spans="1:46" ht="15" customHeight="1">
      <c r="A44" s="301"/>
      <c r="B44" s="360" t="s">
        <v>491</v>
      </c>
      <c r="C44" s="301"/>
      <c r="D44" s="297">
        <f>'Exhibit G State'!D44+'Exhibit G Federal'!D21</f>
        <v>93.8</v>
      </c>
      <c r="E44" s="297"/>
      <c r="F44" s="297">
        <f>'Exhibit G State'!F44+'Exhibit G Federal'!F21</f>
        <v>84.199999999999989</v>
      </c>
      <c r="G44" s="297"/>
      <c r="H44" s="297">
        <f>'Exhibit G State'!H44+'Exhibit G Federal'!H21</f>
        <v>73.900000000000006</v>
      </c>
      <c r="J44" s="297">
        <f>'Exhibit G State'!J44+'Exhibit G Federal'!J21</f>
        <v>51.300000000000011</v>
      </c>
      <c r="L44" s="297">
        <f>'Exhibit G State'!L44+'Exhibit G Federal'!L21</f>
        <v>62.599999999999994</v>
      </c>
      <c r="N44" s="297">
        <f>'Exhibit G State'!N44+'Exhibit G Federal'!N21</f>
        <v>55.09999999999998</v>
      </c>
      <c r="P44" s="297">
        <v>107.69999999999997</v>
      </c>
      <c r="R44" s="297">
        <v>55.400000000000077</v>
      </c>
      <c r="S44" s="297"/>
      <c r="T44" s="297">
        <v>96.39999999999992</v>
      </c>
      <c r="U44" s="297"/>
      <c r="V44" s="297">
        <v>101.00000000000007</v>
      </c>
      <c r="W44" s="297"/>
      <c r="X44" s="297">
        <f>'Exhibit G State'!X44+'Exhibit G Federal'!X21</f>
        <v>32.700000000000003</v>
      </c>
      <c r="Y44" s="297"/>
      <c r="Z44" s="297"/>
      <c r="AA44" s="297"/>
      <c r="AB44" s="274">
        <v>0</v>
      </c>
      <c r="AC44" s="274"/>
      <c r="AD44" s="534"/>
      <c r="AE44" s="274">
        <f>ROUND(SUM(D44:Z44),1)</f>
        <v>814.1</v>
      </c>
      <c r="AF44" s="274"/>
      <c r="AG44" s="534"/>
      <c r="AH44" s="297">
        <f>'Exhibit G State'!AF44+'Exhibit G Federal'!AF21</f>
        <v>705.9</v>
      </c>
      <c r="AI44" s="1062"/>
      <c r="AJ44" s="274"/>
      <c r="AK44" s="274">
        <f>ROUND(SUM(+AE44-AH44),1)</f>
        <v>108.2</v>
      </c>
      <c r="AL44" s="11"/>
      <c r="AM44" s="276">
        <f>ROUND(IF(AH44=0,0,AK44/ABS(AH44)),3)</f>
        <v>0.153</v>
      </c>
      <c r="AN44" s="416"/>
      <c r="AO44" s="416"/>
      <c r="AP44" s="416"/>
      <c r="AQ44" s="416"/>
      <c r="AR44" s="416"/>
      <c r="AS44" s="416"/>
      <c r="AT44" s="416"/>
    </row>
    <row r="45" spans="1:46" ht="15" customHeight="1">
      <c r="A45" s="301"/>
      <c r="B45" s="360" t="s">
        <v>1431</v>
      </c>
      <c r="C45" s="301"/>
      <c r="D45" s="297">
        <f>'Exhibit G State'!D45+'Exhibit G Federal'!D22</f>
        <v>663.6</v>
      </c>
      <c r="E45" s="297"/>
      <c r="F45" s="297">
        <f>'Exhibit G State'!F45+'Exhibit G Federal'!F22</f>
        <v>621.30000000000007</v>
      </c>
      <c r="G45" s="297"/>
      <c r="H45" s="297">
        <f>'Exhibit G State'!H45+'Exhibit G Federal'!H22</f>
        <v>694.79999999999984</v>
      </c>
      <c r="J45" s="297">
        <f>'Exhibit G State'!J45+'Exhibit G Federal'!J22</f>
        <v>692.30000000000007</v>
      </c>
      <c r="L45" s="297">
        <f>'Exhibit G State'!L45+'Exhibit G Federal'!L22</f>
        <v>599.8000000000003</v>
      </c>
      <c r="N45" s="297">
        <f>'Exhibit G State'!N45+'Exhibit G Federal'!N22</f>
        <v>673.5999999999998</v>
      </c>
      <c r="P45" s="297">
        <v>719.79999999999973</v>
      </c>
      <c r="R45" s="297">
        <v>654.80000000000018</v>
      </c>
      <c r="S45" s="297"/>
      <c r="T45" s="297">
        <v>737.80000000000018</v>
      </c>
      <c r="U45" s="297"/>
      <c r="V45" s="297">
        <v>506.59999999999945</v>
      </c>
      <c r="W45" s="297"/>
      <c r="X45" s="297">
        <f>'Exhibit G State'!X45+'Exhibit G Federal'!X22</f>
        <v>712.5</v>
      </c>
      <c r="Y45" s="297"/>
      <c r="Z45" s="297"/>
      <c r="AA45" s="297"/>
      <c r="AB45" s="274">
        <v>0</v>
      </c>
      <c r="AC45" s="274"/>
      <c r="AD45" s="534"/>
      <c r="AE45" s="274">
        <f t="shared" si="7"/>
        <v>7276.9</v>
      </c>
      <c r="AF45" s="274"/>
      <c r="AG45" s="534"/>
      <c r="AH45" s="297">
        <f>'Exhibit G State'!AF45+'Exhibit G Federal'!AF22</f>
        <v>6897.7</v>
      </c>
      <c r="AI45" s="1062"/>
      <c r="AJ45" s="274"/>
      <c r="AK45" s="274">
        <f>ROUND(SUM(+AE45-AH45),1)</f>
        <v>379.2</v>
      </c>
      <c r="AL45" s="11"/>
      <c r="AM45" s="276">
        <f>ROUND(IF(AH45=0,0,AK45/ABS(AH45)),3)</f>
        <v>5.5E-2</v>
      </c>
      <c r="AN45" s="416"/>
      <c r="AO45" s="416"/>
      <c r="AP45" s="416"/>
      <c r="AQ45" s="416"/>
      <c r="AR45" s="416"/>
      <c r="AS45" s="416"/>
      <c r="AT45" s="416"/>
    </row>
    <row r="46" spans="1:46" ht="15" customHeight="1">
      <c r="A46" s="301"/>
      <c r="B46" s="360" t="s">
        <v>1432</v>
      </c>
      <c r="C46" s="301"/>
      <c r="D46" s="297">
        <f>'Exhibit G State'!D46+'Exhibit G Federal'!D23</f>
        <v>3.7</v>
      </c>
      <c r="E46" s="297"/>
      <c r="F46" s="297">
        <f>'Exhibit G State'!F46+'Exhibit G Federal'!F23</f>
        <v>-0.10000000000000009</v>
      </c>
      <c r="G46" s="297"/>
      <c r="H46" s="297">
        <f>'Exhibit G State'!H46+'Exhibit G Federal'!H23</f>
        <v>0.89999999999999991</v>
      </c>
      <c r="J46" s="297">
        <f>'Exhibit G State'!J46+'Exhibit G Federal'!J23</f>
        <v>0</v>
      </c>
      <c r="L46" s="297">
        <f>'Exhibit G State'!L46+'Exhibit G Federal'!L23</f>
        <v>9.9999999999999645E-2</v>
      </c>
      <c r="N46" s="297">
        <f>'Exhibit G State'!N46+'Exhibit G Federal'!N23</f>
        <v>57.4</v>
      </c>
      <c r="P46" s="297">
        <v>-13.199999999999996</v>
      </c>
      <c r="R46" s="297">
        <v>-1.5000000000000071</v>
      </c>
      <c r="S46" s="297"/>
      <c r="T46" s="297">
        <v>0.70000000000000284</v>
      </c>
      <c r="U46" s="297"/>
      <c r="V46" s="297">
        <v>-0.39999999999999858</v>
      </c>
      <c r="W46" s="297"/>
      <c r="X46" s="297">
        <f>'Exhibit G State'!X46+'Exhibit G Federal'!X23</f>
        <v>0.10000000000000142</v>
      </c>
      <c r="Y46" s="297"/>
      <c r="Z46" s="297"/>
      <c r="AA46" s="297"/>
      <c r="AB46" s="274">
        <v>0</v>
      </c>
      <c r="AC46" s="274"/>
      <c r="AD46" s="534"/>
      <c r="AE46" s="274">
        <f t="shared" si="7"/>
        <v>47.7</v>
      </c>
      <c r="AF46" s="274"/>
      <c r="AG46" s="534"/>
      <c r="AH46" s="297">
        <f>'Exhibit G State'!AF46+'Exhibit G Federal'!AF23</f>
        <v>29.5</v>
      </c>
      <c r="AI46" s="1062"/>
      <c r="AJ46" s="274"/>
      <c r="AK46" s="274">
        <f>ROUND(SUM(+AE46-AH46),1)</f>
        <v>18.2</v>
      </c>
      <c r="AL46" s="11"/>
      <c r="AM46" s="553">
        <f>ROUND(IF(AH46=0,0,AK46/ABS(AH46)),3)</f>
        <v>0.61699999999999999</v>
      </c>
      <c r="AN46" s="416"/>
      <c r="AO46" s="416"/>
      <c r="AP46" s="416"/>
      <c r="AQ46" s="416"/>
      <c r="AR46" s="416"/>
      <c r="AS46" s="416"/>
      <c r="AT46" s="416"/>
    </row>
    <row r="47" spans="1:46" ht="15" customHeight="1">
      <c r="A47" s="301"/>
      <c r="B47" s="360" t="s">
        <v>492</v>
      </c>
      <c r="C47" s="301"/>
      <c r="D47" s="297">
        <f>'Exhibit G State'!D47+'Exhibit G Federal'!D24</f>
        <v>0.1</v>
      </c>
      <c r="E47" s="297"/>
      <c r="F47" s="297">
        <f>'Exhibit G State'!F47+'Exhibit G Federal'!F24</f>
        <v>0</v>
      </c>
      <c r="G47" s="297"/>
      <c r="H47" s="297">
        <f>'Exhibit G State'!H47+'Exhibit G Federal'!H24</f>
        <v>0</v>
      </c>
      <c r="J47" s="297">
        <f>'Exhibit G State'!J47+'Exhibit G Federal'!J24</f>
        <v>0</v>
      </c>
      <c r="L47" s="297">
        <f>'Exhibit G State'!L47+'Exhibit G Federal'!L24</f>
        <v>0</v>
      </c>
      <c r="N47" s="297">
        <f>'Exhibit G State'!N47+'Exhibit G Federal'!N24</f>
        <v>0.1</v>
      </c>
      <c r="P47" s="297">
        <v>0</v>
      </c>
      <c r="R47" s="297">
        <v>0</v>
      </c>
      <c r="S47" s="297"/>
      <c r="T47" s="297">
        <v>0</v>
      </c>
      <c r="U47" s="297"/>
      <c r="V47" s="297">
        <v>9.9999999999999978E-2</v>
      </c>
      <c r="W47" s="297"/>
      <c r="X47" s="297">
        <f>'Exhibit G State'!X47+'Exhibit G Federal'!X24</f>
        <v>0</v>
      </c>
      <c r="Y47" s="297"/>
      <c r="Z47" s="297"/>
      <c r="AA47" s="297"/>
      <c r="AB47" s="274">
        <v>0</v>
      </c>
      <c r="AC47" s="274"/>
      <c r="AD47" s="534"/>
      <c r="AE47" s="274">
        <f t="shared" si="7"/>
        <v>0.3</v>
      </c>
      <c r="AF47" s="274"/>
      <c r="AG47" s="534"/>
      <c r="AH47" s="297">
        <f>'Exhibit G State'!AF47+'Exhibit G Federal'!AF24</f>
        <v>0.4</v>
      </c>
      <c r="AI47" s="1062"/>
      <c r="AJ47" s="274"/>
      <c r="AK47" s="274">
        <f>ROUND(SUM(+AE47-AH47),1)</f>
        <v>-0.1</v>
      </c>
      <c r="AL47" s="11"/>
      <c r="AM47" s="276">
        <f>ROUND(IF(AH47=0,1,AK47/ABS(AH47)),3)</f>
        <v>-0.25</v>
      </c>
      <c r="AN47" s="416"/>
      <c r="AO47" s="416"/>
      <c r="AP47" s="416"/>
      <c r="AQ47" s="416"/>
      <c r="AR47" s="416"/>
      <c r="AS47" s="416"/>
      <c r="AT47" s="416"/>
    </row>
    <row r="48" spans="1:46" ht="15" customHeight="1">
      <c r="A48" s="301"/>
      <c r="B48" s="360" t="s">
        <v>399</v>
      </c>
      <c r="C48" s="301"/>
      <c r="D48" s="297"/>
      <c r="E48" s="297"/>
      <c r="F48" s="297"/>
      <c r="G48" s="297"/>
      <c r="H48" s="297"/>
      <c r="J48" s="297"/>
      <c r="L48" s="297"/>
      <c r="N48" s="297"/>
      <c r="P48" s="297"/>
      <c r="R48" s="297"/>
      <c r="S48" s="274"/>
      <c r="T48" s="297"/>
      <c r="U48" s="274"/>
      <c r="V48" s="297"/>
      <c r="W48" s="274"/>
      <c r="X48" s="297"/>
      <c r="Y48" s="274"/>
      <c r="Z48" s="297"/>
      <c r="AA48" s="297"/>
      <c r="AB48" s="274"/>
      <c r="AC48" s="274"/>
      <c r="AD48" s="534"/>
      <c r="AE48" s="274"/>
      <c r="AF48" s="274"/>
      <c r="AG48" s="534"/>
      <c r="AH48" s="297"/>
      <c r="AI48" s="1062"/>
      <c r="AJ48" s="274"/>
      <c r="AK48" s="274"/>
      <c r="AL48" s="11"/>
      <c r="AM48" s="293"/>
      <c r="AN48" s="416"/>
      <c r="AO48" s="416"/>
      <c r="AP48" s="416"/>
      <c r="AQ48" s="416"/>
      <c r="AR48" s="416"/>
      <c r="AS48" s="416"/>
      <c r="AT48" s="416"/>
    </row>
    <row r="49" spans="1:46" ht="15" customHeight="1">
      <c r="A49" s="301"/>
      <c r="B49" s="360" t="s">
        <v>493</v>
      </c>
      <c r="C49" s="301"/>
      <c r="D49" s="297">
        <f>'Exhibit G State'!D49</f>
        <v>0</v>
      </c>
      <c r="E49" s="297"/>
      <c r="F49" s="297">
        <f>'Exhibit G State'!F49</f>
        <v>0.1</v>
      </c>
      <c r="G49" s="297"/>
      <c r="H49" s="297">
        <f>'Exhibit G State'!H49</f>
        <v>0.8</v>
      </c>
      <c r="J49" s="297">
        <f>'Exhibit G State'!J49</f>
        <v>1.3999999999999997</v>
      </c>
      <c r="L49" s="297">
        <f>'Exhibit G State'!L49</f>
        <v>0.20000000000000018</v>
      </c>
      <c r="N49" s="297">
        <f>'Exhibit G State'!N49</f>
        <v>0</v>
      </c>
      <c r="P49" s="297">
        <v>0</v>
      </c>
      <c r="R49" s="297">
        <v>0</v>
      </c>
      <c r="S49" s="297"/>
      <c r="T49" s="297">
        <v>0</v>
      </c>
      <c r="U49" s="297"/>
      <c r="V49" s="297">
        <v>0</v>
      </c>
      <c r="W49" s="297"/>
      <c r="X49" s="297">
        <f>'Exhibit G State'!X49</f>
        <v>0</v>
      </c>
      <c r="Y49" s="297"/>
      <c r="Z49" s="297"/>
      <c r="AA49" s="297"/>
      <c r="AB49" s="274">
        <v>0</v>
      </c>
      <c r="AC49" s="274"/>
      <c r="AD49" s="534"/>
      <c r="AE49" s="274">
        <f>ROUND(SUM(D49:Z49),1)</f>
        <v>2.5</v>
      </c>
      <c r="AF49" s="274"/>
      <c r="AG49" s="534"/>
      <c r="AH49" s="297">
        <f>'Exhibit G State'!AF49</f>
        <v>2.7</v>
      </c>
      <c r="AI49" s="1062"/>
      <c r="AJ49" s="274"/>
      <c r="AK49" s="274">
        <f>ROUND(SUM(+AE49-AH49),1)</f>
        <v>-0.2</v>
      </c>
      <c r="AL49" s="11"/>
      <c r="AM49" s="276">
        <f>ROUND(IF(AH49=0,1,AK49/ABS(AH49)),3)</f>
        <v>-7.3999999999999996E-2</v>
      </c>
      <c r="AN49" s="416"/>
      <c r="AO49" s="416"/>
      <c r="AP49" s="416"/>
      <c r="AQ49" s="416"/>
      <c r="AR49" s="416"/>
      <c r="AS49" s="416"/>
      <c r="AT49" s="416"/>
    </row>
    <row r="50" spans="1:46" ht="15" customHeight="1">
      <c r="A50" s="301"/>
      <c r="B50" s="360" t="s">
        <v>1434</v>
      </c>
      <c r="C50" s="301"/>
      <c r="D50" s="297">
        <f>'Exhibit G State'!D50+'Exhibit G Federal'!D26</f>
        <v>41.5</v>
      </c>
      <c r="E50" s="297"/>
      <c r="F50" s="297">
        <f>'Exhibit G State'!F50+'Exhibit G Federal'!F26</f>
        <v>41.099999999999994</v>
      </c>
      <c r="G50" s="297"/>
      <c r="H50" s="297">
        <f>'Exhibit G State'!H50+'Exhibit G Federal'!H26</f>
        <v>79</v>
      </c>
      <c r="J50" s="297">
        <f>'Exhibit G State'!J50+'Exhibit G Federal'!J26</f>
        <v>60.900000000000006</v>
      </c>
      <c r="L50" s="297">
        <f>'Exhibit G State'!L50+'Exhibit G Federal'!L26</f>
        <v>68.600000000000023</v>
      </c>
      <c r="N50" s="297">
        <f>'Exhibit G State'!N50+'Exhibit G Federal'!N26</f>
        <v>69.700000000000017</v>
      </c>
      <c r="P50" s="297">
        <v>48.999999999999943</v>
      </c>
      <c r="R50" s="297">
        <v>46.099999999999966</v>
      </c>
      <c r="S50" s="297"/>
      <c r="T50" s="297">
        <v>99.399999999999977</v>
      </c>
      <c r="U50" s="297"/>
      <c r="V50" s="297">
        <v>99.600000000000023</v>
      </c>
      <c r="W50" s="297"/>
      <c r="X50" s="297">
        <f>'Exhibit G State'!X50+'Exhibit G Federal'!X26</f>
        <v>41.300000000000068</v>
      </c>
      <c r="Y50" s="297"/>
      <c r="Z50" s="297"/>
      <c r="AA50" s="297"/>
      <c r="AB50" s="274">
        <v>0</v>
      </c>
      <c r="AC50" s="274"/>
      <c r="AD50" s="534"/>
      <c r="AE50" s="274">
        <f t="shared" si="7"/>
        <v>696.2</v>
      </c>
      <c r="AF50" s="274"/>
      <c r="AG50" s="534"/>
      <c r="AH50" s="297">
        <f>'Exhibit G State'!AF50+'Exhibit G Federal'!AF26</f>
        <v>677.3</v>
      </c>
      <c r="AI50" s="1062"/>
      <c r="AJ50" s="274"/>
      <c r="AK50" s="274">
        <f t="shared" ref="AK50:AK55" si="8">ROUND(SUM(+AE50-AH50),1)</f>
        <v>18.899999999999999</v>
      </c>
      <c r="AL50" s="11"/>
      <c r="AM50" s="276">
        <f t="shared" ref="AM50:AM55" si="9">ROUND(IF(AH50=0,0,AK50/ABS(AH50)),3)</f>
        <v>2.8000000000000001E-2</v>
      </c>
      <c r="AN50" s="416"/>
      <c r="AO50" s="416"/>
      <c r="AP50" s="416"/>
      <c r="AQ50" s="416"/>
      <c r="AR50" s="416"/>
      <c r="AS50" s="416"/>
      <c r="AT50" s="416"/>
    </row>
    <row r="51" spans="1:46" ht="15" customHeight="1">
      <c r="A51" s="301"/>
      <c r="B51" s="360" t="s">
        <v>495</v>
      </c>
      <c r="C51" s="301"/>
      <c r="D51" s="297">
        <f>'Exhibit G State'!D51+'Exhibit G Federal'!D27</f>
        <v>3.6</v>
      </c>
      <c r="E51" s="297"/>
      <c r="F51" s="297">
        <f>'Exhibit G State'!F51+'Exhibit G Federal'!F27</f>
        <v>3.4</v>
      </c>
      <c r="G51" s="297"/>
      <c r="H51" s="297">
        <f>'Exhibit G State'!H51+'Exhibit G Federal'!H27</f>
        <v>5.9</v>
      </c>
      <c r="J51" s="297">
        <f>'Exhibit G State'!J51+'Exhibit G Federal'!J27</f>
        <v>4.0999999999999996</v>
      </c>
      <c r="L51" s="297">
        <f>'Exhibit G State'!L51+'Exhibit G Federal'!L27</f>
        <v>3.9999999999999982</v>
      </c>
      <c r="N51" s="297">
        <f>'Exhibit G State'!N51+'Exhibit G Federal'!N27</f>
        <v>5.5000000000000018</v>
      </c>
      <c r="P51" s="297">
        <v>4.6000000000000014</v>
      </c>
      <c r="R51" s="297">
        <v>4.2999999999999972</v>
      </c>
      <c r="S51" s="297"/>
      <c r="T51" s="297">
        <v>4.3999999999999986</v>
      </c>
      <c r="U51" s="297"/>
      <c r="V51" s="297">
        <v>5.1000000000000014</v>
      </c>
      <c r="W51" s="297"/>
      <c r="X51" s="297">
        <f>'Exhibit G State'!X51+'Exhibit G Federal'!X27</f>
        <v>5</v>
      </c>
      <c r="Y51" s="297"/>
      <c r="Z51" s="297"/>
      <c r="AA51" s="297"/>
      <c r="AB51" s="274">
        <v>0</v>
      </c>
      <c r="AC51" s="274"/>
      <c r="AD51" s="534"/>
      <c r="AE51" s="274">
        <f t="shared" si="7"/>
        <v>49.9</v>
      </c>
      <c r="AF51" s="274"/>
      <c r="AG51" s="534"/>
      <c r="AH51" s="297">
        <f>'Exhibit G State'!AF51+'Exhibit G Federal'!AF27</f>
        <v>48.5</v>
      </c>
      <c r="AI51" s="1062"/>
      <c r="AJ51" s="274"/>
      <c r="AK51" s="274">
        <f t="shared" si="8"/>
        <v>1.4</v>
      </c>
      <c r="AL51" s="11"/>
      <c r="AM51" s="276">
        <f t="shared" si="9"/>
        <v>2.9000000000000001E-2</v>
      </c>
      <c r="AN51" s="416"/>
      <c r="AO51" s="416"/>
      <c r="AP51" s="416"/>
      <c r="AQ51" s="416"/>
      <c r="AR51" s="416"/>
      <c r="AS51" s="416"/>
      <c r="AT51" s="416"/>
    </row>
    <row r="52" spans="1:46" ht="15" customHeight="1">
      <c r="A52" s="301"/>
      <c r="B52" s="360" t="s">
        <v>496</v>
      </c>
      <c r="C52" s="301"/>
      <c r="D52" s="297">
        <f>'Exhibit G State'!D52+'Exhibit G Federal'!D28</f>
        <v>0.2</v>
      </c>
      <c r="E52" s="297"/>
      <c r="F52" s="297">
        <f>'Exhibit G State'!F52+'Exhibit G Federal'!F28</f>
        <v>0.3</v>
      </c>
      <c r="G52" s="297"/>
      <c r="H52" s="297">
        <f>'Exhibit G State'!H52+'Exhibit G Federal'!H28</f>
        <v>0.60000000000000009</v>
      </c>
      <c r="J52" s="297">
        <f>'Exhibit G State'!J52+'Exhibit G Federal'!J28</f>
        <v>0</v>
      </c>
      <c r="L52" s="297">
        <f>'Exhibit G State'!L52+'Exhibit G Federal'!L28</f>
        <v>0.39999999999999991</v>
      </c>
      <c r="N52" s="297">
        <f>'Exhibit G State'!N52+'Exhibit G Federal'!N28</f>
        <v>0.60000000000000009</v>
      </c>
      <c r="P52" s="297">
        <v>0.29999999999999982</v>
      </c>
      <c r="R52" s="297">
        <v>1</v>
      </c>
      <c r="S52" s="297"/>
      <c r="T52" s="297">
        <v>0.20000000000000018</v>
      </c>
      <c r="U52" s="297"/>
      <c r="V52" s="297">
        <v>0.19999999999999973</v>
      </c>
      <c r="W52" s="297"/>
      <c r="X52" s="297">
        <f>'Exhibit G State'!X52+'Exhibit G Federal'!X28</f>
        <v>0.10000000000000009</v>
      </c>
      <c r="Y52" s="297"/>
      <c r="Z52" s="297"/>
      <c r="AA52" s="297"/>
      <c r="AB52" s="274">
        <v>0</v>
      </c>
      <c r="AC52" s="274"/>
      <c r="AD52" s="534"/>
      <c r="AE52" s="274">
        <f>ROUND(SUM(D52:Z52),1)</f>
        <v>3.9</v>
      </c>
      <c r="AF52" s="274"/>
      <c r="AG52" s="534"/>
      <c r="AH52" s="297">
        <f>'Exhibit G State'!AF52+'Exhibit G Federal'!AF28</f>
        <v>5.3</v>
      </c>
      <c r="AI52" s="1062"/>
      <c r="AJ52" s="274"/>
      <c r="AK52" s="274">
        <f t="shared" si="8"/>
        <v>-1.4</v>
      </c>
      <c r="AL52" s="11"/>
      <c r="AM52" s="276">
        <f>ROUND(IF(AH52=0,1,AK52/ABS(AH52)),3)</f>
        <v>-0.26400000000000001</v>
      </c>
      <c r="AN52" s="416"/>
      <c r="AO52" s="416"/>
      <c r="AP52" s="416"/>
      <c r="AQ52" s="416"/>
      <c r="AR52" s="416"/>
      <c r="AS52" s="416"/>
      <c r="AT52" s="416"/>
    </row>
    <row r="53" spans="1:46" ht="15" customHeight="1">
      <c r="A53" s="301"/>
      <c r="B53" s="360" t="s">
        <v>1435</v>
      </c>
      <c r="C53" s="301"/>
      <c r="D53" s="297">
        <f>'Exhibit G State'!D53+'Exhibit G Federal'!D29</f>
        <v>11.4</v>
      </c>
      <c r="E53" s="297"/>
      <c r="F53" s="297">
        <f>'Exhibit G State'!F53+'Exhibit G Federal'!F29</f>
        <v>15.9</v>
      </c>
      <c r="G53" s="297"/>
      <c r="H53" s="297">
        <f>'Exhibit G State'!H53+'Exhibit G Federal'!H29</f>
        <v>18.600000000000001</v>
      </c>
      <c r="J53" s="297">
        <f>'Exhibit G State'!J53+'Exhibit G Federal'!J29</f>
        <v>48.399999999999984</v>
      </c>
      <c r="L53" s="297">
        <f>'Exhibit G State'!L53+'Exhibit G Federal'!L29</f>
        <v>15.899999999999999</v>
      </c>
      <c r="N53" s="297">
        <f>'Exhibit G State'!N53+'Exhibit G Federal'!N29</f>
        <v>31.100000000000023</v>
      </c>
      <c r="P53" s="297">
        <v>20.699999999999989</v>
      </c>
      <c r="R53" s="297">
        <v>19.099999999999994</v>
      </c>
      <c r="S53" s="297"/>
      <c r="T53" s="297">
        <v>17</v>
      </c>
      <c r="U53" s="297"/>
      <c r="V53" s="297">
        <v>22.700000000000017</v>
      </c>
      <c r="W53" s="297"/>
      <c r="X53" s="297">
        <f>'Exhibit G State'!X53+'Exhibit G Federal'!X29</f>
        <v>14.099999999999994</v>
      </c>
      <c r="Y53" s="297"/>
      <c r="Z53" s="297"/>
      <c r="AA53" s="297"/>
      <c r="AB53" s="274">
        <v>0</v>
      </c>
      <c r="AC53" s="274"/>
      <c r="AD53" s="534"/>
      <c r="AE53" s="274">
        <f t="shared" si="7"/>
        <v>234.9</v>
      </c>
      <c r="AF53" s="274"/>
      <c r="AG53" s="534"/>
      <c r="AH53" s="297">
        <f>'Exhibit G State'!AF53+'Exhibit G Federal'!AF29</f>
        <v>275.5</v>
      </c>
      <c r="AI53" s="1062"/>
      <c r="AJ53" s="274"/>
      <c r="AK53" s="274">
        <f t="shared" si="8"/>
        <v>-40.6</v>
      </c>
      <c r="AL53" s="11"/>
      <c r="AM53" s="276">
        <f t="shared" si="9"/>
        <v>-0.14699999999999999</v>
      </c>
      <c r="AN53" s="416"/>
      <c r="AO53" s="416"/>
      <c r="AP53" s="416"/>
      <c r="AQ53" s="416"/>
      <c r="AR53" s="416"/>
      <c r="AS53" s="416"/>
      <c r="AT53" s="416"/>
    </row>
    <row r="54" spans="1:46" ht="15" customHeight="1">
      <c r="A54" s="301"/>
      <c r="B54" s="360" t="s">
        <v>1436</v>
      </c>
      <c r="C54" s="301"/>
      <c r="D54" s="297">
        <f>'Exhibit G State'!D54+'Exhibit G Federal'!D30</f>
        <v>58.3</v>
      </c>
      <c r="E54" s="297"/>
      <c r="F54" s="297">
        <f>'Exhibit G State'!F54+'Exhibit G Federal'!F30</f>
        <v>46.3</v>
      </c>
      <c r="G54" s="297"/>
      <c r="H54" s="297">
        <f>'Exhibit G State'!H54+'Exhibit G Federal'!H30</f>
        <v>79</v>
      </c>
      <c r="J54" s="297">
        <f>'Exhibit G State'!J54+'Exhibit G Federal'!J30</f>
        <v>52.399999999999977</v>
      </c>
      <c r="L54" s="297">
        <f>'Exhibit G State'!L54+'Exhibit G Federal'!L30</f>
        <v>84.399999999999977</v>
      </c>
      <c r="N54" s="297">
        <f>'Exhibit G State'!N54+'Exhibit G Federal'!N30</f>
        <v>151.60000000000002</v>
      </c>
      <c r="P54" s="297">
        <v>92.399999999999977</v>
      </c>
      <c r="R54" s="297">
        <v>80.700000000000045</v>
      </c>
      <c r="S54" s="297"/>
      <c r="T54" s="297">
        <v>34.899999999999977</v>
      </c>
      <c r="U54" s="297"/>
      <c r="V54" s="297">
        <v>168.29999999999995</v>
      </c>
      <c r="W54" s="297"/>
      <c r="X54" s="297">
        <f>'Exhibit G State'!X54+'Exhibit G Federal'!X30</f>
        <v>127.80000000000007</v>
      </c>
      <c r="Y54" s="297"/>
      <c r="Z54" s="297"/>
      <c r="AA54" s="297"/>
      <c r="AB54" s="274">
        <v>0</v>
      </c>
      <c r="AC54" s="274"/>
      <c r="AD54" s="534"/>
      <c r="AE54" s="274">
        <f t="shared" si="7"/>
        <v>976.1</v>
      </c>
      <c r="AF54" s="274"/>
      <c r="AG54" s="534"/>
      <c r="AH54" s="297">
        <f>'Exhibit G State'!AF54+'Exhibit G Federal'!AF30</f>
        <v>996.2</v>
      </c>
      <c r="AI54" s="1062"/>
      <c r="AJ54" s="274"/>
      <c r="AK54" s="274">
        <f t="shared" si="8"/>
        <v>-20.100000000000001</v>
      </c>
      <c r="AL54" s="11"/>
      <c r="AM54" s="276">
        <f t="shared" si="9"/>
        <v>-0.02</v>
      </c>
      <c r="AN54" s="416"/>
      <c r="AO54" s="416"/>
      <c r="AP54" s="416"/>
      <c r="AQ54" s="416"/>
      <c r="AR54" s="416"/>
      <c r="AS54" s="416"/>
      <c r="AT54" s="416"/>
    </row>
    <row r="55" spans="1:46" ht="15" customHeight="1">
      <c r="A55" s="301"/>
      <c r="B55" s="360" t="s">
        <v>1437</v>
      </c>
      <c r="C55" s="301"/>
      <c r="D55" s="297">
        <f>'Exhibit G State'!D55+'Exhibit G Federal'!D31</f>
        <v>10</v>
      </c>
      <c r="E55" s="297"/>
      <c r="F55" s="297">
        <f>'Exhibit G State'!F55+'Exhibit G Federal'!F31</f>
        <v>11.399999999999999</v>
      </c>
      <c r="G55" s="297"/>
      <c r="H55" s="297">
        <f>'Exhibit G State'!H55+'Exhibit G Federal'!H31</f>
        <v>5.0999999999999996</v>
      </c>
      <c r="J55" s="297">
        <f>'Exhibit G State'!J55+'Exhibit G Federal'!J31</f>
        <v>3.9000000000000017</v>
      </c>
      <c r="L55" s="297">
        <f>'Exhibit G State'!L55+'Exhibit G Federal'!L31</f>
        <v>10.5</v>
      </c>
      <c r="N55" s="297">
        <f>'Exhibit G State'!N55+'Exhibit G Federal'!N31</f>
        <v>21.199999999999996</v>
      </c>
      <c r="P55" s="297">
        <v>23.4</v>
      </c>
      <c r="R55" s="297">
        <v>9.5000000000000071</v>
      </c>
      <c r="S55" s="297"/>
      <c r="T55" s="297">
        <v>5.0999999999999917</v>
      </c>
      <c r="U55" s="297"/>
      <c r="V55" s="297">
        <v>14.800000000000006</v>
      </c>
      <c r="W55" s="297"/>
      <c r="X55" s="297">
        <f>'Exhibit G State'!X55+'Exhibit G Federal'!X31</f>
        <v>11.499999999999995</v>
      </c>
      <c r="Y55" s="297"/>
      <c r="Z55" s="297"/>
      <c r="AA55" s="297"/>
      <c r="AB55" s="274">
        <v>0</v>
      </c>
      <c r="AC55" s="274"/>
      <c r="AD55" s="534"/>
      <c r="AE55" s="274">
        <f>ROUND(SUM(D55:Z55),1)</f>
        <v>126.4</v>
      </c>
      <c r="AF55" s="274"/>
      <c r="AG55" s="534"/>
      <c r="AH55" s="297">
        <f>'Exhibit G State'!AF55+'Exhibit G Federal'!AF31</f>
        <v>124.1</v>
      </c>
      <c r="AI55" s="1062"/>
      <c r="AJ55" s="274"/>
      <c r="AK55" s="274">
        <f t="shared" si="8"/>
        <v>2.2999999999999998</v>
      </c>
      <c r="AL55" s="11"/>
      <c r="AM55" s="553">
        <f t="shared" si="9"/>
        <v>1.9E-2</v>
      </c>
      <c r="AN55" s="416"/>
      <c r="AO55" s="416"/>
      <c r="AP55" s="416"/>
      <c r="AQ55" s="416"/>
      <c r="AR55" s="416"/>
      <c r="AS55" s="416"/>
      <c r="AT55" s="416"/>
    </row>
    <row r="56" spans="1:46" ht="15" customHeight="1">
      <c r="A56" s="301"/>
      <c r="B56" s="360" t="s">
        <v>408</v>
      </c>
      <c r="C56" s="301"/>
      <c r="D56" s="297"/>
      <c r="E56" s="297"/>
      <c r="F56" s="297"/>
      <c r="G56" s="297"/>
      <c r="H56" s="297"/>
      <c r="J56" s="297"/>
      <c r="L56" s="297"/>
      <c r="N56" s="297"/>
      <c r="P56" s="297"/>
      <c r="R56" s="297"/>
      <c r="S56" s="297"/>
      <c r="T56" s="297"/>
      <c r="U56" s="297"/>
      <c r="V56" s="297"/>
      <c r="W56" s="297"/>
      <c r="X56" s="297"/>
      <c r="Y56" s="297"/>
      <c r="Z56" s="297"/>
      <c r="AA56" s="297"/>
      <c r="AB56" s="274"/>
      <c r="AC56" s="274"/>
      <c r="AD56" s="534"/>
      <c r="AE56" s="274"/>
      <c r="AF56" s="274"/>
      <c r="AG56" s="534"/>
      <c r="AH56" s="297"/>
      <c r="AI56" s="1062"/>
      <c r="AJ56" s="274"/>
      <c r="AK56" s="274"/>
      <c r="AL56" s="11"/>
      <c r="AM56" s="293"/>
      <c r="AN56" s="416"/>
      <c r="AO56" s="416"/>
      <c r="AP56" s="416"/>
      <c r="AQ56" s="416"/>
      <c r="AR56" s="416"/>
      <c r="AS56" s="416"/>
      <c r="AT56" s="416"/>
    </row>
    <row r="57" spans="1:46" ht="15" customHeight="1">
      <c r="A57" s="301"/>
      <c r="B57" s="360" t="s">
        <v>499</v>
      </c>
      <c r="C57" s="301"/>
      <c r="D57" s="297">
        <f>'Exhibit G State'!D57</f>
        <v>42.2</v>
      </c>
      <c r="E57" s="297"/>
      <c r="F57" s="297">
        <f>'Exhibit G State'!F57</f>
        <v>16.299999999999997</v>
      </c>
      <c r="G57" s="297"/>
      <c r="H57" s="297">
        <f>'Exhibit G State'!H57</f>
        <v>13</v>
      </c>
      <c r="J57" s="297">
        <f>'Exhibit G State'!J57</f>
        <v>38.900000000000006</v>
      </c>
      <c r="L57" s="297">
        <f>'Exhibit G State'!L57</f>
        <v>14</v>
      </c>
      <c r="N57" s="297">
        <f>'Exhibit G State'!N57</f>
        <v>13.199999999999989</v>
      </c>
      <c r="P57" s="297">
        <v>43.200000000000017</v>
      </c>
      <c r="R57" s="297">
        <v>12.699999999999989</v>
      </c>
      <c r="S57" s="297"/>
      <c r="T57" s="297">
        <v>13.5</v>
      </c>
      <c r="U57" s="297"/>
      <c r="V57" s="297">
        <v>38.800000000000011</v>
      </c>
      <c r="W57" s="297"/>
      <c r="X57" s="297">
        <f>'Exhibit G State'!X57</f>
        <v>12.199999999999989</v>
      </c>
      <c r="Y57" s="297"/>
      <c r="Z57" s="297"/>
      <c r="AA57" s="297"/>
      <c r="AB57" s="274">
        <v>0</v>
      </c>
      <c r="AC57" s="274"/>
      <c r="AD57" s="534"/>
      <c r="AE57" s="274">
        <f t="shared" si="7"/>
        <v>258</v>
      </c>
      <c r="AF57" s="274"/>
      <c r="AG57" s="534"/>
      <c r="AH57" s="297">
        <f>'Exhibit G State'!AF57</f>
        <v>343.9</v>
      </c>
      <c r="AI57" s="1062"/>
      <c r="AJ57" s="274"/>
      <c r="AK57" s="274">
        <f t="shared" ref="AK57:AK62" si="10">ROUND(SUM(+AE57-AH57),1)</f>
        <v>-85.9</v>
      </c>
      <c r="AL57" s="11"/>
      <c r="AM57" s="553">
        <f>ROUND(IF(AH57=0,1,AK57/ABS(AH57)),3)</f>
        <v>-0.25</v>
      </c>
      <c r="AN57" s="416"/>
      <c r="AO57" s="416"/>
      <c r="AP57" s="416"/>
      <c r="AQ57" s="416"/>
      <c r="AR57" s="416"/>
      <c r="AS57" s="416"/>
      <c r="AT57" s="416"/>
    </row>
    <row r="58" spans="1:46" ht="15" customHeight="1">
      <c r="A58" s="301"/>
      <c r="B58" s="360" t="s">
        <v>500</v>
      </c>
      <c r="C58" s="301"/>
      <c r="D58" s="297">
        <f>'Exhibit G State'!D58</f>
        <v>205.3</v>
      </c>
      <c r="E58" s="297"/>
      <c r="F58" s="297">
        <f>'Exhibit G State'!F58</f>
        <v>227.2</v>
      </c>
      <c r="G58" s="297"/>
      <c r="H58" s="297">
        <f>'Exhibit G State'!H58</f>
        <v>179.20000000000005</v>
      </c>
      <c r="J58" s="297">
        <f>'Exhibit G State'!J58</f>
        <v>217.8</v>
      </c>
      <c r="L58" s="297">
        <f>'Exhibit G State'!L58</f>
        <v>177.39999999999981</v>
      </c>
      <c r="N58" s="297">
        <f>'Exhibit G State'!N58</f>
        <v>183.70000000000005</v>
      </c>
      <c r="P58" s="297">
        <v>218.30000000000018</v>
      </c>
      <c r="R58" s="297">
        <v>175.59999999999991</v>
      </c>
      <c r="S58" s="297"/>
      <c r="T58" s="297">
        <v>184.90000000000009</v>
      </c>
      <c r="U58" s="297"/>
      <c r="V58" s="297">
        <v>232.89999999999986</v>
      </c>
      <c r="W58" s="297"/>
      <c r="X58" s="297">
        <f>'Exhibit G State'!X58</f>
        <v>172.29999999999995</v>
      </c>
      <c r="Y58" s="297"/>
      <c r="Z58" s="297"/>
      <c r="AA58" s="297"/>
      <c r="AB58" s="274">
        <v>0</v>
      </c>
      <c r="AC58" s="274"/>
      <c r="AD58" s="534"/>
      <c r="AE58" s="274">
        <f t="shared" si="7"/>
        <v>2174.6</v>
      </c>
      <c r="AF58" s="274"/>
      <c r="AG58" s="534"/>
      <c r="AH58" s="297">
        <f>'Exhibit G State'!AF58</f>
        <v>2276.4</v>
      </c>
      <c r="AI58" s="1062"/>
      <c r="AJ58" s="274"/>
      <c r="AK58" s="274">
        <f t="shared" si="10"/>
        <v>-101.8</v>
      </c>
      <c r="AL58" s="11"/>
      <c r="AM58" s="276">
        <f>ROUND(IF(AH58=0,0,AK58/ABS(AH58)),3)</f>
        <v>-4.4999999999999998E-2</v>
      </c>
      <c r="AN58" s="416"/>
      <c r="AO58" s="416"/>
      <c r="AP58" s="416"/>
      <c r="AQ58" s="416"/>
      <c r="AR58" s="416"/>
      <c r="AS58" s="416"/>
      <c r="AT58" s="416"/>
    </row>
    <row r="59" spans="1:46" ht="15" customHeight="1">
      <c r="A59" s="301"/>
      <c r="B59" s="360" t="s">
        <v>456</v>
      </c>
      <c r="C59" s="301"/>
      <c r="D59" s="297">
        <f>'Exhibit G State'!D59</f>
        <v>87.3</v>
      </c>
      <c r="E59" s="297"/>
      <c r="F59" s="297">
        <f>'Exhibit G State'!F59</f>
        <v>104.7</v>
      </c>
      <c r="G59" s="297"/>
      <c r="H59" s="297">
        <f>'Exhibit G State'!H59</f>
        <v>69.199999999999974</v>
      </c>
      <c r="J59" s="297">
        <f>'Exhibit G State'!J59</f>
        <v>81.000000000000014</v>
      </c>
      <c r="L59" s="297">
        <f>'Exhibit G State'!L59</f>
        <v>56.499999999999986</v>
      </c>
      <c r="N59" s="297">
        <f>'Exhibit G State'!N59</f>
        <v>89.400000000000048</v>
      </c>
      <c r="P59" s="297">
        <v>98.699999999999932</v>
      </c>
      <c r="R59" s="297">
        <v>108.60000000000002</v>
      </c>
      <c r="S59" s="297"/>
      <c r="T59" s="297">
        <v>95</v>
      </c>
      <c r="U59" s="297"/>
      <c r="V59" s="297">
        <v>140.89999999999998</v>
      </c>
      <c r="W59" s="297"/>
      <c r="X59" s="297">
        <f>'Exhibit G State'!X59</f>
        <v>101.60000000000014</v>
      </c>
      <c r="Y59" s="297"/>
      <c r="Z59" s="297"/>
      <c r="AA59" s="297"/>
      <c r="AB59" s="274">
        <v>0</v>
      </c>
      <c r="AC59" s="274"/>
      <c r="AD59" s="534"/>
      <c r="AE59" s="274">
        <f t="shared" si="7"/>
        <v>1032.9000000000001</v>
      </c>
      <c r="AF59" s="274"/>
      <c r="AG59" s="534"/>
      <c r="AH59" s="297">
        <f>'Exhibit G State'!AF59</f>
        <v>818.8</v>
      </c>
      <c r="AI59" s="1062"/>
      <c r="AJ59" s="274"/>
      <c r="AK59" s="274">
        <f t="shared" si="10"/>
        <v>214.1</v>
      </c>
      <c r="AL59" s="11"/>
      <c r="AM59" s="276">
        <f>ROUND(IF(AH59=0,1,AK59/ABS(AH59)),3)</f>
        <v>0.26100000000000001</v>
      </c>
      <c r="AN59" s="416"/>
      <c r="AO59" s="416"/>
      <c r="AP59" s="416"/>
      <c r="AQ59" s="416"/>
      <c r="AR59" s="416"/>
      <c r="AS59" s="416"/>
      <c r="AT59" s="416"/>
    </row>
    <row r="60" spans="1:46" ht="15" customHeight="1">
      <c r="A60" s="301"/>
      <c r="B60" s="360" t="s">
        <v>501</v>
      </c>
      <c r="C60" s="301"/>
      <c r="D60" s="297">
        <f>'Exhibit G State'!D60</f>
        <v>81.099999999999994</v>
      </c>
      <c r="E60" s="297"/>
      <c r="F60" s="297">
        <f>'Exhibit G State'!F60</f>
        <v>94.200000000000017</v>
      </c>
      <c r="G60" s="297"/>
      <c r="H60" s="297">
        <f>'Exhibit G State'!H60</f>
        <v>76.899999999999977</v>
      </c>
      <c r="J60" s="297">
        <f>'Exhibit G State'!J60</f>
        <v>108.10000000000005</v>
      </c>
      <c r="L60" s="297">
        <f>'Exhibit G State'!L60</f>
        <v>85.699999999999903</v>
      </c>
      <c r="N60" s="297">
        <f>'Exhibit G State'!N60</f>
        <v>85.899999999999977</v>
      </c>
      <c r="P60" s="297">
        <v>106.60000000000002</v>
      </c>
      <c r="R60" s="297">
        <v>83.799999999999955</v>
      </c>
      <c r="S60" s="297"/>
      <c r="T60" s="297">
        <v>80</v>
      </c>
      <c r="U60" s="297"/>
      <c r="V60" s="297">
        <v>107.20000000000005</v>
      </c>
      <c r="W60" s="297"/>
      <c r="X60" s="297">
        <f>'Exhibit G State'!X60</f>
        <v>83.200000000000045</v>
      </c>
      <c r="Y60" s="297"/>
      <c r="Z60" s="297"/>
      <c r="AA60" s="297"/>
      <c r="AB60" s="274">
        <v>0</v>
      </c>
      <c r="AC60" s="274"/>
      <c r="AD60" s="534"/>
      <c r="AE60" s="274">
        <f t="shared" si="7"/>
        <v>992.7</v>
      </c>
      <c r="AF60" s="274"/>
      <c r="AG60" s="534"/>
      <c r="AH60" s="297">
        <f>'Exhibit G State'!AF60</f>
        <v>957.8</v>
      </c>
      <c r="AI60" s="1062"/>
      <c r="AJ60" s="274"/>
      <c r="AK60" s="274">
        <f t="shared" si="10"/>
        <v>34.9</v>
      </c>
      <c r="AL60" s="11"/>
      <c r="AM60" s="553">
        <f>ROUND(IF(AH60=0,1,AK60/ABS(AH60)),3)</f>
        <v>3.5999999999999997E-2</v>
      </c>
      <c r="AN60" s="416"/>
      <c r="AO60" s="416"/>
      <c r="AP60" s="416"/>
      <c r="AQ60" s="416"/>
      <c r="AR60" s="416"/>
      <c r="AS60" s="416"/>
      <c r="AT60" s="416"/>
    </row>
    <row r="61" spans="1:46" ht="15" customHeight="1">
      <c r="A61" s="301"/>
      <c r="B61" s="360" t="s">
        <v>413</v>
      </c>
      <c r="C61" s="301"/>
      <c r="D61" s="297">
        <f>'Exhibit G State'!D61+'Exhibit G Federal'!D32</f>
        <v>139.30000000000001</v>
      </c>
      <c r="E61" s="297"/>
      <c r="F61" s="297">
        <f>'Exhibit G State'!F61+'Exhibit G Federal'!F32</f>
        <v>123.60000000000001</v>
      </c>
      <c r="G61" s="297"/>
      <c r="H61" s="297">
        <f>'Exhibit G State'!H61+'Exhibit G Federal'!H32</f>
        <v>139.6</v>
      </c>
      <c r="J61" s="297">
        <f>'Exhibit G State'!J61+'Exhibit G Federal'!J32</f>
        <v>130</v>
      </c>
      <c r="L61" s="297">
        <f>'Exhibit G State'!L61+'Exhibit G Federal'!L32</f>
        <v>136.5</v>
      </c>
      <c r="N61" s="297">
        <f>'Exhibit G State'!N61+'Exhibit G Federal'!N32</f>
        <v>133.20000000000002</v>
      </c>
      <c r="P61" s="297">
        <v>129.80000000000001</v>
      </c>
      <c r="R61" s="297">
        <v>125.30000000000001</v>
      </c>
      <c r="S61" s="297"/>
      <c r="T61" s="297">
        <v>116.49999999999994</v>
      </c>
      <c r="U61" s="297"/>
      <c r="V61" s="297">
        <v>118.30000000000007</v>
      </c>
      <c r="W61" s="297"/>
      <c r="X61" s="297">
        <f>'Exhibit G State'!X61+'Exhibit G Federal'!X32</f>
        <v>96.699999999999932</v>
      </c>
      <c r="Y61" s="297"/>
      <c r="Z61" s="297"/>
      <c r="AA61" s="297"/>
      <c r="AB61" s="274">
        <v>0</v>
      </c>
      <c r="AC61" s="274"/>
      <c r="AD61" s="534"/>
      <c r="AE61" s="274">
        <f>ROUND(SUM(D61:Z61),1)</f>
        <v>1388.8</v>
      </c>
      <c r="AF61" s="274"/>
      <c r="AG61" s="534"/>
      <c r="AH61" s="297">
        <f>'Exhibit G State'!AF61+'Exhibit G Federal'!AF32</f>
        <v>1587.5</v>
      </c>
      <c r="AI61" s="1062"/>
      <c r="AJ61" s="274"/>
      <c r="AK61" s="274">
        <f t="shared" si="10"/>
        <v>-198.7</v>
      </c>
      <c r="AL61" s="11"/>
      <c r="AM61" s="553">
        <f>ROUND(IF(AH61=0,0,AK61/ABS(AH61)),3)</f>
        <v>-0.125</v>
      </c>
      <c r="AN61" s="416"/>
      <c r="AO61" s="416"/>
      <c r="AP61" s="416"/>
      <c r="AQ61" s="416"/>
      <c r="AR61" s="416"/>
      <c r="AS61" s="416"/>
      <c r="AT61" s="416"/>
    </row>
    <row r="62" spans="1:46" ht="15" customHeight="1">
      <c r="A62" s="301"/>
      <c r="B62" s="360" t="s">
        <v>1438</v>
      </c>
      <c r="C62" s="301"/>
      <c r="D62" s="297">
        <f>'Exhibit G State'!D62+'Exhibit G Federal'!D33</f>
        <v>6.6</v>
      </c>
      <c r="E62" s="297"/>
      <c r="F62" s="297">
        <f>'Exhibit G State'!F62+'Exhibit G Federal'!F33</f>
        <v>1.1000000000000005</v>
      </c>
      <c r="G62" s="297"/>
      <c r="H62" s="297">
        <f>'Exhibit G State'!H62+'Exhibit G Federal'!H33</f>
        <v>5.2</v>
      </c>
      <c r="J62" s="297">
        <f>'Exhibit G State'!J62+'Exhibit G Federal'!J33</f>
        <v>2.9000000000000012</v>
      </c>
      <c r="L62" s="297">
        <f>'Exhibit G State'!L62+'Exhibit G Federal'!L33</f>
        <v>0.80000000000000071</v>
      </c>
      <c r="N62" s="297">
        <f>'Exhibit G State'!N62+'Exhibit G Federal'!N33</f>
        <v>5.0000000000000009</v>
      </c>
      <c r="P62" s="297">
        <v>2.7999999999999972</v>
      </c>
      <c r="R62" s="297">
        <v>1</v>
      </c>
      <c r="S62" s="297"/>
      <c r="T62" s="297">
        <v>5.2000000000000028</v>
      </c>
      <c r="U62" s="297"/>
      <c r="V62" s="297">
        <v>2.3999999999999986</v>
      </c>
      <c r="W62" s="297"/>
      <c r="X62" s="297">
        <f>'Exhibit G State'!X62+'Exhibit G Federal'!X33</f>
        <v>1</v>
      </c>
      <c r="Y62" s="297"/>
      <c r="Z62" s="297"/>
      <c r="AA62" s="297"/>
      <c r="AB62" s="274">
        <v>0</v>
      </c>
      <c r="AC62" s="274"/>
      <c r="AD62" s="534"/>
      <c r="AE62" s="274">
        <f>ROUND(SUM(D62:Z62),1)</f>
        <v>34</v>
      </c>
      <c r="AF62" s="274"/>
      <c r="AG62" s="534"/>
      <c r="AH62" s="297">
        <f>'Exhibit G State'!AF62+'Exhibit G Federal'!AF33</f>
        <v>187.3</v>
      </c>
      <c r="AI62" s="1062"/>
      <c r="AJ62" s="274"/>
      <c r="AK62" s="274">
        <f t="shared" si="10"/>
        <v>-153.30000000000001</v>
      </c>
      <c r="AL62" s="11"/>
      <c r="AM62" s="276">
        <f>ROUND(IF(AH62=0,0,AK62/ABS(AH62)),3)</f>
        <v>-0.81799999999999995</v>
      </c>
      <c r="AN62" s="416"/>
      <c r="AO62" s="416"/>
      <c r="AP62" s="416"/>
      <c r="AQ62" s="416"/>
      <c r="AR62" s="416"/>
      <c r="AS62" s="416"/>
      <c r="AT62" s="416"/>
    </row>
    <row r="63" spans="1:46" ht="15" customHeight="1">
      <c r="A63" s="301"/>
      <c r="B63" s="360" t="s">
        <v>415</v>
      </c>
      <c r="C63" s="301"/>
      <c r="D63" s="297"/>
      <c r="E63" s="297"/>
      <c r="F63" s="297"/>
      <c r="G63" s="297"/>
      <c r="H63" s="297"/>
      <c r="J63" s="297"/>
      <c r="L63" s="297"/>
      <c r="N63" s="297"/>
      <c r="P63" s="297"/>
      <c r="R63" s="297"/>
      <c r="S63" s="297"/>
      <c r="T63" s="297"/>
      <c r="U63" s="297"/>
      <c r="V63" s="297"/>
      <c r="W63" s="297"/>
      <c r="X63" s="297"/>
      <c r="Y63" s="297"/>
      <c r="Z63" s="297"/>
      <c r="AA63" s="297"/>
      <c r="AB63" s="274"/>
      <c r="AC63" s="274"/>
      <c r="AD63" s="534"/>
      <c r="AE63" s="274"/>
      <c r="AF63" s="274"/>
      <c r="AG63" s="534"/>
      <c r="AH63" s="297"/>
      <c r="AI63" s="1062"/>
      <c r="AJ63" s="274"/>
      <c r="AK63" s="274"/>
      <c r="AL63" s="11"/>
      <c r="AM63" s="293"/>
      <c r="AN63" s="416"/>
      <c r="AO63" s="416"/>
      <c r="AP63" s="416"/>
      <c r="AQ63" s="416"/>
      <c r="AR63" s="416"/>
      <c r="AS63" s="416"/>
      <c r="AT63" s="416"/>
    </row>
    <row r="64" spans="1:46" ht="15" customHeight="1">
      <c r="A64" s="301"/>
      <c r="B64" s="360" t="s">
        <v>502</v>
      </c>
      <c r="C64" s="301"/>
      <c r="D64" s="297">
        <f>'Exhibit G State'!D64+'Exhibit G Federal'!D35</f>
        <v>0</v>
      </c>
      <c r="E64" s="297"/>
      <c r="F64" s="297">
        <f>'Exhibit G State'!F64+'Exhibit G Federal'!F35</f>
        <v>0</v>
      </c>
      <c r="G64" s="297"/>
      <c r="H64" s="297">
        <f>'Exhibit G State'!H64+'Exhibit G Federal'!H35</f>
        <v>0</v>
      </c>
      <c r="J64" s="297">
        <f>'Exhibit G State'!J64+'Exhibit G Federal'!J35</f>
        <v>0</v>
      </c>
      <c r="L64" s="297">
        <f>'Exhibit G State'!L64+'Exhibit G Federal'!L35</f>
        <v>0</v>
      </c>
      <c r="N64" s="297">
        <f>'Exhibit G State'!N64+'Exhibit G Federal'!N35</f>
        <v>0</v>
      </c>
      <c r="P64" s="297">
        <v>0</v>
      </c>
      <c r="R64" s="297">
        <v>0</v>
      </c>
      <c r="S64" s="297"/>
      <c r="T64" s="297">
        <v>0</v>
      </c>
      <c r="U64" s="297"/>
      <c r="V64" s="297">
        <v>0</v>
      </c>
      <c r="W64" s="297"/>
      <c r="X64" s="297">
        <f>'Exhibit G State'!X64+'Exhibit G Federal'!X35</f>
        <v>0</v>
      </c>
      <c r="Y64" s="297"/>
      <c r="Z64" s="297"/>
      <c r="AA64" s="297"/>
      <c r="AB64" s="274">
        <v>0</v>
      </c>
      <c r="AC64" s="274"/>
      <c r="AD64" s="534"/>
      <c r="AE64" s="274">
        <f t="shared" si="7"/>
        <v>0</v>
      </c>
      <c r="AF64" s="274"/>
      <c r="AG64" s="534"/>
      <c r="AH64" s="297">
        <f>'Exhibit G State'!AF64+'Exhibit G Federal'!AF35</f>
        <v>0</v>
      </c>
      <c r="AI64" s="1062"/>
      <c r="AJ64" s="274"/>
      <c r="AK64" s="274">
        <f t="shared" ref="AK64:AK68" si="11">ROUND(SUM(+AE64-AH64),1)</f>
        <v>0</v>
      </c>
      <c r="AL64" s="11"/>
      <c r="AM64" s="276">
        <f>ROUND(IF(AH64=0,0,AK64/ABS(AH64)),3)</f>
        <v>0</v>
      </c>
      <c r="AN64" s="416"/>
      <c r="AO64" s="416"/>
      <c r="AP64" s="416"/>
      <c r="AQ64" s="416"/>
      <c r="AR64" s="416"/>
      <c r="AS64" s="416"/>
      <c r="AT64" s="416"/>
    </row>
    <row r="65" spans="1:46" ht="15" customHeight="1">
      <c r="A65" s="301"/>
      <c r="B65" s="360" t="s">
        <v>503</v>
      </c>
      <c r="C65" s="301"/>
      <c r="D65" s="297">
        <f>'Exhibit G State'!D65+'Exhibit G Federal'!D36</f>
        <v>0.30000000000000004</v>
      </c>
      <c r="E65" s="297"/>
      <c r="F65" s="297">
        <f>'Exhibit G State'!F65+'Exhibit G Federal'!F36</f>
        <v>7.8999999999999995</v>
      </c>
      <c r="G65" s="297"/>
      <c r="H65" s="297">
        <f>'Exhibit G State'!H65+'Exhibit G Federal'!H36</f>
        <v>0</v>
      </c>
      <c r="J65" s="297">
        <f>'Exhibit G State'!J65+'Exhibit G Federal'!J36</f>
        <v>0</v>
      </c>
      <c r="L65" s="297">
        <f>'Exhibit G State'!L65+'Exhibit G Federal'!L36</f>
        <v>0</v>
      </c>
      <c r="N65" s="297">
        <f>'Exhibit G State'!N65+'Exhibit G Federal'!N36</f>
        <v>8.9000000000000021</v>
      </c>
      <c r="P65" s="297">
        <v>0</v>
      </c>
      <c r="R65" s="297">
        <v>0</v>
      </c>
      <c r="S65" s="297"/>
      <c r="T65" s="297">
        <v>3.2999999999999972</v>
      </c>
      <c r="U65" s="297"/>
      <c r="V65" s="297">
        <v>0</v>
      </c>
      <c r="W65" s="297"/>
      <c r="X65" s="297">
        <f>'Exhibit G State'!X65+'Exhibit G Federal'!X36</f>
        <v>0</v>
      </c>
      <c r="Y65" s="297"/>
      <c r="Z65" s="297"/>
      <c r="AA65" s="297"/>
      <c r="AB65" s="274">
        <v>0</v>
      </c>
      <c r="AC65" s="274"/>
      <c r="AD65" s="534"/>
      <c r="AE65" s="274">
        <f t="shared" si="7"/>
        <v>20.399999999999999</v>
      </c>
      <c r="AF65" s="274"/>
      <c r="AG65" s="534"/>
      <c r="AH65" s="297">
        <f>'Exhibit G State'!AF65+'Exhibit G Federal'!AF36</f>
        <v>20.399999999999999</v>
      </c>
      <c r="AI65" s="1062"/>
      <c r="AJ65" s="274"/>
      <c r="AK65" s="274">
        <f t="shared" si="11"/>
        <v>0</v>
      </c>
      <c r="AL65" s="11"/>
      <c r="AM65" s="553">
        <f>ROUND(IF(AH65=0,1,AK65/ABS(AH65)),3)</f>
        <v>0</v>
      </c>
      <c r="AN65" s="416"/>
      <c r="AO65" s="416"/>
      <c r="AP65" s="416"/>
      <c r="AQ65" s="416"/>
      <c r="AR65" s="416"/>
      <c r="AS65" s="416"/>
      <c r="AT65" s="416"/>
    </row>
    <row r="66" spans="1:46" ht="15" customHeight="1">
      <c r="A66" s="301"/>
      <c r="B66" s="360" t="s">
        <v>1439</v>
      </c>
      <c r="C66" s="301"/>
      <c r="D66" s="297">
        <f>'Exhibit G State'!D66+'Exhibit G Federal'!D37</f>
        <v>3.4</v>
      </c>
      <c r="E66" s="297"/>
      <c r="F66" s="297">
        <f>'Exhibit G State'!F66+'Exhibit G Federal'!F37</f>
        <v>3.4</v>
      </c>
      <c r="G66" s="297"/>
      <c r="H66" s="297">
        <f>'Exhibit G State'!H66+'Exhibit G Federal'!H37</f>
        <v>-1.3999999999999995</v>
      </c>
      <c r="J66" s="297">
        <f>'Exhibit G State'!J66+'Exhibit G Federal'!J37</f>
        <v>1.7999999999999998</v>
      </c>
      <c r="L66" s="297">
        <f>'Exhibit G State'!L66+'Exhibit G Federal'!L37</f>
        <v>0</v>
      </c>
      <c r="N66" s="297">
        <f>'Exhibit G State'!N66+'Exhibit G Federal'!N37</f>
        <v>0</v>
      </c>
      <c r="P66" s="297">
        <v>0</v>
      </c>
      <c r="R66" s="297">
        <v>0</v>
      </c>
      <c r="S66" s="297"/>
      <c r="T66" s="297">
        <v>0</v>
      </c>
      <c r="U66" s="297"/>
      <c r="V66" s="297">
        <v>0</v>
      </c>
      <c r="W66" s="297"/>
      <c r="X66" s="297">
        <f>'Exhibit G State'!X66+'Exhibit G Federal'!X37</f>
        <v>0</v>
      </c>
      <c r="Y66" s="297"/>
      <c r="Z66" s="297"/>
      <c r="AA66" s="297"/>
      <c r="AB66" s="274">
        <v>0</v>
      </c>
      <c r="AC66" s="274"/>
      <c r="AD66" s="534"/>
      <c r="AE66" s="274">
        <f t="shared" si="7"/>
        <v>7.2</v>
      </c>
      <c r="AF66" s="274"/>
      <c r="AG66" s="534"/>
      <c r="AH66" s="297">
        <f>'Exhibit G State'!AF66+'Exhibit G Federal'!AF37</f>
        <v>7.2</v>
      </c>
      <c r="AI66" s="1062"/>
      <c r="AJ66" s="274"/>
      <c r="AK66" s="274">
        <f t="shared" si="11"/>
        <v>0</v>
      </c>
      <c r="AL66" s="11"/>
      <c r="AM66" s="553">
        <f t="shared" ref="AM66:AM68" si="12">ROUND(IF(AH66=0,0,AK66/ABS(AH66)),3)</f>
        <v>0</v>
      </c>
      <c r="AN66" s="416"/>
      <c r="AO66" s="416"/>
      <c r="AP66" s="416"/>
      <c r="AQ66" s="416"/>
      <c r="AR66" s="416"/>
      <c r="AS66" s="416"/>
      <c r="AT66" s="416"/>
    </row>
    <row r="67" spans="1:46" ht="15" customHeight="1">
      <c r="A67" s="301"/>
      <c r="B67" s="360" t="s">
        <v>505</v>
      </c>
      <c r="C67" s="301"/>
      <c r="D67" s="297">
        <f>'Exhibit G State'!D67+'Exhibit G Federal'!D38</f>
        <v>4.5999999999999996</v>
      </c>
      <c r="E67" s="297"/>
      <c r="F67" s="297">
        <f>'Exhibit G State'!F67+'Exhibit G Federal'!F38</f>
        <v>0.30000000000000071</v>
      </c>
      <c r="G67" s="297"/>
      <c r="H67" s="297">
        <f>'Exhibit G State'!H67+'Exhibit G Federal'!H38</f>
        <v>3.9000000000000004</v>
      </c>
      <c r="J67" s="297">
        <f>'Exhibit G State'!J67+'Exhibit G Federal'!J38</f>
        <v>8.5999999999999979</v>
      </c>
      <c r="L67" s="297">
        <f>'Exhibit G State'!L67+'Exhibit G Federal'!L38</f>
        <v>6.4999999999999982</v>
      </c>
      <c r="N67" s="297">
        <f>'Exhibit G State'!N67+'Exhibit G Federal'!N38</f>
        <v>4.4999999999999982</v>
      </c>
      <c r="P67" s="297">
        <v>4.8999999999999986</v>
      </c>
      <c r="R67" s="297">
        <v>4.3999999999999986</v>
      </c>
      <c r="S67" s="297"/>
      <c r="T67" s="297">
        <v>4.3000000000000043</v>
      </c>
      <c r="U67" s="297"/>
      <c r="V67" s="297">
        <v>8.2999999999999972</v>
      </c>
      <c r="W67" s="297"/>
      <c r="X67" s="297">
        <f>'Exhibit G State'!X67+'Exhibit G Federal'!X38</f>
        <v>4</v>
      </c>
      <c r="Y67" s="297"/>
      <c r="Z67" s="297"/>
      <c r="AA67" s="297"/>
      <c r="AB67" s="274">
        <v>0</v>
      </c>
      <c r="AC67" s="274"/>
      <c r="AD67" s="534"/>
      <c r="AE67" s="274">
        <f t="shared" si="7"/>
        <v>54.3</v>
      </c>
      <c r="AF67" s="274"/>
      <c r="AG67" s="534"/>
      <c r="AH67" s="297">
        <f>'Exhibit G State'!AF67+'Exhibit G Federal'!AF38</f>
        <v>65.7</v>
      </c>
      <c r="AI67" s="1062"/>
      <c r="AJ67" s="274"/>
      <c r="AK67" s="274">
        <f t="shared" si="11"/>
        <v>-11.4</v>
      </c>
      <c r="AL67" s="11"/>
      <c r="AM67" s="553">
        <f t="shared" si="12"/>
        <v>-0.17399999999999999</v>
      </c>
      <c r="AN67" s="416"/>
      <c r="AO67" s="416"/>
      <c r="AP67" s="416"/>
      <c r="AQ67" s="416"/>
      <c r="AR67" s="416"/>
      <c r="AS67" s="416"/>
      <c r="AT67" s="416"/>
    </row>
    <row r="68" spans="1:46" ht="15" customHeight="1">
      <c r="A68" s="301"/>
      <c r="B68" s="360" t="s">
        <v>420</v>
      </c>
      <c r="C68" s="301"/>
      <c r="D68" s="297">
        <f>'Exhibit G State'!D68+'Exhibit G Federal'!D39</f>
        <v>46.6</v>
      </c>
      <c r="E68" s="297"/>
      <c r="F68" s="297">
        <f>'Exhibit G State'!F68+'Exhibit G Federal'!F39</f>
        <v>25.800000000000004</v>
      </c>
      <c r="G68" s="297"/>
      <c r="H68" s="297">
        <f>'Exhibit G State'!H68+'Exhibit G Federal'!H39</f>
        <v>5.8999999999999915</v>
      </c>
      <c r="J68" s="297">
        <f>'Exhibit G State'!J68+'Exhibit G Federal'!J39</f>
        <v>0.90000000000000568</v>
      </c>
      <c r="L68" s="297">
        <f>'Exhibit G State'!L68+'Exhibit G Federal'!L39</f>
        <v>0.59999999999999432</v>
      </c>
      <c r="N68" s="297">
        <f>'Exhibit G State'!N68+'Exhibit G Federal'!N39</f>
        <v>-0.29999999999999716</v>
      </c>
      <c r="P68" s="297">
        <v>1.5999999999999943</v>
      </c>
      <c r="R68" s="297">
        <v>109.30000000000001</v>
      </c>
      <c r="S68" s="297"/>
      <c r="T68" s="297">
        <v>18.699999999999989</v>
      </c>
      <c r="U68" s="297"/>
      <c r="V68" s="297">
        <v>42.800000000000011</v>
      </c>
      <c r="W68" s="297"/>
      <c r="X68" s="297">
        <f>'Exhibit G State'!X68+'Exhibit G Federal'!X39</f>
        <v>120.6</v>
      </c>
      <c r="Y68" s="297"/>
      <c r="Z68" s="297"/>
      <c r="AA68" s="297"/>
      <c r="AB68" s="274">
        <v>0</v>
      </c>
      <c r="AC68" s="274"/>
      <c r="AD68" s="534"/>
      <c r="AE68" s="274">
        <f t="shared" si="7"/>
        <v>372.5</v>
      </c>
      <c r="AF68" s="274"/>
      <c r="AG68" s="534"/>
      <c r="AH68" s="297">
        <f>'Exhibit G State'!AF68+'Exhibit G Federal'!AF39</f>
        <v>298.60000000000002</v>
      </c>
      <c r="AI68" s="1062"/>
      <c r="AJ68" s="274"/>
      <c r="AK68" s="274">
        <f t="shared" si="11"/>
        <v>73.900000000000006</v>
      </c>
      <c r="AL68" s="11"/>
      <c r="AM68" s="553">
        <f t="shared" si="12"/>
        <v>0.247</v>
      </c>
      <c r="AN68" s="416"/>
      <c r="AO68" s="416"/>
      <c r="AP68" s="416"/>
      <c r="AQ68" s="416"/>
      <c r="AR68" s="416"/>
      <c r="AS68" s="416"/>
      <c r="AT68" s="416"/>
    </row>
    <row r="69" spans="1:46" ht="15" customHeight="1">
      <c r="A69" s="301"/>
      <c r="B69" s="360" t="s">
        <v>421</v>
      </c>
      <c r="C69" s="301"/>
      <c r="D69" s="297"/>
      <c r="E69" s="297"/>
      <c r="F69" s="297"/>
      <c r="G69" s="297"/>
      <c r="H69" s="297"/>
      <c r="J69" s="297"/>
      <c r="L69" s="297"/>
      <c r="N69" s="297"/>
      <c r="P69" s="297"/>
      <c r="R69" s="297"/>
      <c r="S69" s="297"/>
      <c r="T69" s="297"/>
      <c r="U69" s="297"/>
      <c r="V69" s="297"/>
      <c r="W69" s="297"/>
      <c r="X69" s="297"/>
      <c r="Y69" s="297"/>
      <c r="Z69" s="297"/>
      <c r="AA69" s="297"/>
      <c r="AB69" s="274"/>
      <c r="AC69" s="274"/>
      <c r="AD69" s="534"/>
      <c r="AE69" s="274"/>
      <c r="AF69" s="274"/>
      <c r="AG69" s="534"/>
      <c r="AH69" s="297"/>
      <c r="AI69" s="1062"/>
      <c r="AJ69" s="274"/>
      <c r="AK69" s="274"/>
      <c r="AL69" s="11"/>
      <c r="AM69" s="293"/>
      <c r="AN69" s="416"/>
      <c r="AO69" s="416"/>
      <c r="AP69" s="416"/>
      <c r="AQ69" s="416"/>
      <c r="AR69" s="416"/>
      <c r="AS69" s="416"/>
      <c r="AT69" s="416"/>
    </row>
    <row r="70" spans="1:46" ht="15" customHeight="1">
      <c r="A70" s="301"/>
      <c r="B70" s="360" t="s">
        <v>1440</v>
      </c>
      <c r="C70" s="301"/>
      <c r="D70" s="297">
        <f>'Exhibit G State'!D70+'Exhibit G Federal'!D41</f>
        <v>9</v>
      </c>
      <c r="E70" s="297"/>
      <c r="F70" s="297">
        <f>'Exhibit G State'!F70+'Exhibit G Federal'!F41</f>
        <v>9.3000000000000007</v>
      </c>
      <c r="G70" s="297"/>
      <c r="H70" s="297">
        <f>'Exhibit G State'!H70+'Exhibit G Federal'!H41</f>
        <v>25.8</v>
      </c>
      <c r="J70" s="297">
        <f>'Exhibit G State'!J70+'Exhibit G Federal'!J41</f>
        <v>10.299999999999994</v>
      </c>
      <c r="L70" s="297">
        <f>'Exhibit G State'!L70+'Exhibit G Federal'!L41</f>
        <v>24.600000000000012</v>
      </c>
      <c r="N70" s="297">
        <f>'Exhibit G State'!N70+'Exhibit G Federal'!N41</f>
        <v>9.9000000000000021</v>
      </c>
      <c r="P70" s="297">
        <v>10.199999999999989</v>
      </c>
      <c r="R70" s="297">
        <v>24.200000000000003</v>
      </c>
      <c r="S70" s="297"/>
      <c r="T70" s="297">
        <v>9.2000000000000028</v>
      </c>
      <c r="U70" s="297"/>
      <c r="V70" s="297">
        <v>23.800000000000011</v>
      </c>
      <c r="W70" s="297"/>
      <c r="X70" s="297">
        <f>'Exhibit G State'!X70+'Exhibit G Federal'!X41</f>
        <v>0.89999999999997726</v>
      </c>
      <c r="Y70" s="297"/>
      <c r="Z70" s="297"/>
      <c r="AA70" s="297"/>
      <c r="AB70" s="274">
        <v>0</v>
      </c>
      <c r="AC70" s="274"/>
      <c r="AD70" s="534"/>
      <c r="AE70" s="274">
        <f t="shared" si="7"/>
        <v>157.19999999999999</v>
      </c>
      <c r="AF70" s="274"/>
      <c r="AG70" s="534"/>
      <c r="AH70" s="297">
        <f>'Exhibit G State'!AF70+'Exhibit G Federal'!AF41</f>
        <v>136</v>
      </c>
      <c r="AI70" s="1062"/>
      <c r="AJ70" s="274"/>
      <c r="AK70" s="274">
        <f t="shared" ref="AK70:AK81" si="13">ROUND(SUM(+AE70-AH70),1)</f>
        <v>21.2</v>
      </c>
      <c r="AL70" s="11"/>
      <c r="AM70" s="553">
        <f>ROUND(IF(AH70=0,0,AK70/ABS(AH70)),3)</f>
        <v>0.156</v>
      </c>
      <c r="AN70" s="416"/>
      <c r="AO70" s="416"/>
      <c r="AP70" s="416"/>
      <c r="AQ70" s="416"/>
      <c r="AR70" s="416"/>
      <c r="AS70" s="416"/>
      <c r="AT70" s="416"/>
    </row>
    <row r="71" spans="1:46" ht="15" customHeight="1">
      <c r="A71" s="301"/>
      <c r="B71" s="360" t="s">
        <v>507</v>
      </c>
      <c r="C71" s="301"/>
      <c r="D71" s="297">
        <f>'Exhibit G State'!D71+'Exhibit G Federal'!D42</f>
        <v>9.9999999999988626E-2</v>
      </c>
      <c r="E71" s="297"/>
      <c r="F71" s="297">
        <f>'Exhibit G State'!F71+'Exhibit G Federal'!F42</f>
        <v>0.20000000000001708</v>
      </c>
      <c r="G71" s="297"/>
      <c r="H71" s="297">
        <f>'Exhibit G State'!H71+'Exhibit G Federal'!H42</f>
        <v>0.30000000000001703</v>
      </c>
      <c r="J71" s="297">
        <f>'Exhibit G State'!J71+'Exhibit G Federal'!J42</f>
        <v>0.29999999999996019</v>
      </c>
      <c r="L71" s="297">
        <f>'Exhibit G State'!L71+'Exhibit G Federal'!L42</f>
        <v>0.20000000000001728</v>
      </c>
      <c r="N71" s="297">
        <f>'Exhibit G State'!N71+'Exhibit G Federal'!N42</f>
        <v>9.9999999999999867E-2</v>
      </c>
      <c r="P71" s="297">
        <v>0.19999999999999996</v>
      </c>
      <c r="R71" s="297">
        <v>0.20000000000000018</v>
      </c>
      <c r="S71" s="297"/>
      <c r="T71" s="297">
        <v>9.9999999999999867E-2</v>
      </c>
      <c r="U71" s="297"/>
      <c r="V71" s="297">
        <v>0.19999999999999996</v>
      </c>
      <c r="W71" s="297"/>
      <c r="X71" s="297">
        <f>'Exhibit G State'!X71+'Exhibit G Federal'!X42</f>
        <v>0.30000000000000027</v>
      </c>
      <c r="Y71" s="297"/>
      <c r="Z71" s="297"/>
      <c r="AA71" s="297"/>
      <c r="AB71" s="274">
        <v>0</v>
      </c>
      <c r="AC71" s="274"/>
      <c r="AD71" s="534"/>
      <c r="AE71" s="274">
        <f t="shared" si="7"/>
        <v>2.2000000000000002</v>
      </c>
      <c r="AF71" s="274"/>
      <c r="AG71" s="534"/>
      <c r="AH71" s="297">
        <f>'Exhibit G State'!AF71+'Exhibit G Federal'!AF42</f>
        <v>1.5</v>
      </c>
      <c r="AI71" s="1062"/>
      <c r="AJ71" s="274"/>
      <c r="AK71" s="274">
        <f t="shared" si="13"/>
        <v>0.7</v>
      </c>
      <c r="AL71" s="11"/>
      <c r="AM71" s="553">
        <f>ROUND(IF(AH71=0,1,AK71/ABS(AH71)),3)</f>
        <v>0.46700000000000003</v>
      </c>
      <c r="AN71" s="416"/>
      <c r="AO71" s="416"/>
      <c r="AP71" s="416"/>
      <c r="AQ71" s="416"/>
      <c r="AR71" s="416"/>
      <c r="AS71" s="416"/>
      <c r="AT71" s="416"/>
    </row>
    <row r="72" spans="1:46" ht="15" customHeight="1">
      <c r="A72" s="301"/>
      <c r="B72" s="360" t="s">
        <v>1441</v>
      </c>
      <c r="C72" s="301"/>
      <c r="D72" s="297">
        <f>'Exhibit G State'!D72</f>
        <v>0</v>
      </c>
      <c r="E72" s="297"/>
      <c r="F72" s="297">
        <f>'Exhibit G State'!F72</f>
        <v>0</v>
      </c>
      <c r="G72" s="297"/>
      <c r="H72" s="297">
        <f>'Exhibit G State'!H72</f>
        <v>0</v>
      </c>
      <c r="I72" s="542"/>
      <c r="J72" s="297">
        <f>'Exhibit G State'!J72</f>
        <v>0</v>
      </c>
      <c r="K72" s="542"/>
      <c r="L72" s="297">
        <f>'Exhibit G State'!L72</f>
        <v>0</v>
      </c>
      <c r="M72" s="542"/>
      <c r="N72" s="297">
        <f>'Exhibit G State'!N72</f>
        <v>0</v>
      </c>
      <c r="O72" s="542"/>
      <c r="P72" s="297">
        <v>0</v>
      </c>
      <c r="Q72" s="542"/>
      <c r="R72" s="297">
        <v>0</v>
      </c>
      <c r="S72" s="297"/>
      <c r="T72" s="297">
        <v>0</v>
      </c>
      <c r="U72" s="297"/>
      <c r="V72" s="297">
        <v>0</v>
      </c>
      <c r="W72" s="297"/>
      <c r="X72" s="297">
        <f>'Exhibit G State'!X72</f>
        <v>0</v>
      </c>
      <c r="Y72" s="297"/>
      <c r="Z72" s="297"/>
      <c r="AA72" s="297"/>
      <c r="AB72" s="274">
        <v>0</v>
      </c>
      <c r="AC72" s="274"/>
      <c r="AD72" s="534"/>
      <c r="AE72" s="274">
        <f>ROUND(SUM(D72:Z72),1)</f>
        <v>0</v>
      </c>
      <c r="AF72" s="274"/>
      <c r="AG72" s="534"/>
      <c r="AH72" s="297">
        <f>'Exhibit G State'!AF72</f>
        <v>0</v>
      </c>
      <c r="AI72" s="1062"/>
      <c r="AJ72" s="274"/>
      <c r="AK72" s="274">
        <f t="shared" ref="AK72" si="14">ROUND(SUM(+AE72-AH72),1)</f>
        <v>0</v>
      </c>
      <c r="AL72" s="11"/>
      <c r="AM72" s="276">
        <f>ROUND(IF(AH72=0,0,AK72/ABS(AH72)),3)</f>
        <v>0</v>
      </c>
      <c r="AN72" s="416"/>
      <c r="AO72" s="416"/>
      <c r="AP72" s="416"/>
      <c r="AQ72" s="416"/>
      <c r="AR72" s="416"/>
      <c r="AS72" s="416"/>
      <c r="AT72" s="416"/>
    </row>
    <row r="73" spans="1:46" ht="15" customHeight="1">
      <c r="A73" s="301"/>
      <c r="B73" s="360" t="s">
        <v>1442</v>
      </c>
      <c r="C73" s="301"/>
      <c r="D73" s="297">
        <f>'Exhibit G State'!D73+'Exhibit G Federal'!D43</f>
        <v>7.3999999999999995</v>
      </c>
      <c r="E73" s="297"/>
      <c r="F73" s="297">
        <f>'Exhibit G State'!F73+'Exhibit G Federal'!F43</f>
        <v>0.60000000000000053</v>
      </c>
      <c r="G73" s="297"/>
      <c r="H73" s="297">
        <f>'Exhibit G State'!H73+'Exhibit G Federal'!H43</f>
        <v>3.5999999999999988</v>
      </c>
      <c r="J73" s="297">
        <f>'Exhibit G State'!J73+'Exhibit G Federal'!J43</f>
        <v>0.60000000000000142</v>
      </c>
      <c r="L73" s="297">
        <f>'Exhibit G State'!L73+'Exhibit G Federal'!L43</f>
        <v>0.5</v>
      </c>
      <c r="N73" s="297">
        <f>'Exhibit G State'!N73+'Exhibit G Federal'!N43</f>
        <v>-0.1</v>
      </c>
      <c r="P73" s="297">
        <v>1.1000000000000001</v>
      </c>
      <c r="R73" s="297">
        <v>0.59999999999999964</v>
      </c>
      <c r="S73" s="297"/>
      <c r="T73" s="297">
        <v>0.69999999999999929</v>
      </c>
      <c r="U73" s="297"/>
      <c r="V73" s="297">
        <v>9.9999999999999645E-2</v>
      </c>
      <c r="W73" s="297"/>
      <c r="X73" s="297">
        <f>'Exhibit G State'!X73+'Exhibit G Federal'!X43</f>
        <v>5.4000000000000021</v>
      </c>
      <c r="Y73" s="297"/>
      <c r="Z73" s="297"/>
      <c r="AA73" s="297"/>
      <c r="AB73" s="274">
        <v>0</v>
      </c>
      <c r="AC73" s="274"/>
      <c r="AD73" s="534"/>
      <c r="AE73" s="274">
        <f t="shared" si="7"/>
        <v>20.5</v>
      </c>
      <c r="AF73" s="274"/>
      <c r="AG73" s="534"/>
      <c r="AH73" s="297">
        <f>'Exhibit G State'!AF73+'Exhibit G Federal'!AF43</f>
        <v>38</v>
      </c>
      <c r="AI73" s="1062"/>
      <c r="AJ73" s="274"/>
      <c r="AK73" s="274">
        <f t="shared" si="13"/>
        <v>-17.5</v>
      </c>
      <c r="AL73" s="11"/>
      <c r="AM73" s="553">
        <f t="shared" ref="AM73:AM76" si="15">ROUND(IF(AH73=0,0,AK73/ABS(AH73)),3)</f>
        <v>-0.46100000000000002</v>
      </c>
      <c r="AN73" s="416"/>
      <c r="AO73" s="416"/>
      <c r="AP73" s="416"/>
      <c r="AQ73" s="416"/>
      <c r="AR73" s="416"/>
      <c r="AS73" s="416"/>
      <c r="AT73" s="416"/>
    </row>
    <row r="74" spans="1:46" ht="15" customHeight="1">
      <c r="A74" s="301"/>
      <c r="B74" s="360" t="s">
        <v>1443</v>
      </c>
      <c r="C74" s="301"/>
      <c r="D74" s="297">
        <f>'Exhibit G State'!D74+'Exhibit G Federal'!D44</f>
        <v>0</v>
      </c>
      <c r="E74" s="297"/>
      <c r="F74" s="297">
        <f>'Exhibit G State'!F74+'Exhibit G Federal'!F44</f>
        <v>0</v>
      </c>
      <c r="G74" s="297"/>
      <c r="H74" s="297">
        <f>'Exhibit G State'!H74+'Exhibit G Federal'!H44</f>
        <v>0</v>
      </c>
      <c r="J74" s="297">
        <f>'Exhibit G State'!J74+'Exhibit G Federal'!J44</f>
        <v>0</v>
      </c>
      <c r="L74" s="297">
        <f>'Exhibit G State'!L74+'Exhibit G Federal'!L44</f>
        <v>0</v>
      </c>
      <c r="N74" s="297">
        <f>'Exhibit G State'!N74+'Exhibit G Federal'!N44</f>
        <v>0.1</v>
      </c>
      <c r="P74" s="297">
        <v>0</v>
      </c>
      <c r="R74" s="297">
        <v>0</v>
      </c>
      <c r="S74" s="297"/>
      <c r="T74" s="297">
        <v>0</v>
      </c>
      <c r="U74" s="297"/>
      <c r="V74" s="297">
        <v>0</v>
      </c>
      <c r="W74" s="297"/>
      <c r="X74" s="297">
        <f>'Exhibit G State'!X74+'Exhibit G Federal'!X44</f>
        <v>0</v>
      </c>
      <c r="Y74" s="297"/>
      <c r="Z74" s="297"/>
      <c r="AA74" s="297"/>
      <c r="AB74" s="274">
        <v>0</v>
      </c>
      <c r="AC74" s="274"/>
      <c r="AD74" s="534"/>
      <c r="AE74" s="274">
        <f t="shared" si="7"/>
        <v>0.1</v>
      </c>
      <c r="AF74" s="274"/>
      <c r="AG74" s="534"/>
      <c r="AH74" s="297">
        <f>'Exhibit G State'!AF74+'Exhibit G Federal'!AF44</f>
        <v>0.2</v>
      </c>
      <c r="AI74" s="1062"/>
      <c r="AJ74" s="274"/>
      <c r="AK74" s="274">
        <f t="shared" si="13"/>
        <v>-0.1</v>
      </c>
      <c r="AL74" s="11"/>
      <c r="AM74" s="553">
        <f>ROUND(IF(AH74=0,0,AK74/ABS(AH74)),3)</f>
        <v>-0.5</v>
      </c>
      <c r="AN74" s="416"/>
      <c r="AO74" s="416"/>
      <c r="AP74" s="416"/>
      <c r="AQ74" s="416"/>
      <c r="AR74" s="416"/>
      <c r="AS74" s="416"/>
      <c r="AT74" s="416"/>
    </row>
    <row r="75" spans="1:46" ht="15" customHeight="1">
      <c r="A75" s="301"/>
      <c r="B75" s="360" t="s">
        <v>1444</v>
      </c>
      <c r="C75" s="301"/>
      <c r="D75" s="297">
        <f>'Exhibit G State'!D75+'Exhibit G Federal'!D45</f>
        <v>286.60000000000002</v>
      </c>
      <c r="E75" s="297"/>
      <c r="F75" s="297">
        <f>'Exhibit G State'!F75+'Exhibit G Federal'!F45</f>
        <v>250.89999999999998</v>
      </c>
      <c r="G75" s="297"/>
      <c r="H75" s="297">
        <f>'Exhibit G State'!H75+'Exhibit G Federal'!H45</f>
        <v>221.20000000000005</v>
      </c>
      <c r="J75" s="297">
        <f>'Exhibit G State'!J75+'Exhibit G Federal'!J45</f>
        <v>299</v>
      </c>
      <c r="L75" s="297">
        <f>'Exhibit G State'!L75+'Exhibit G Federal'!L45</f>
        <v>273.30000000000007</v>
      </c>
      <c r="N75" s="297">
        <f>'Exhibit G State'!N75+'Exhibit G Federal'!N45</f>
        <v>262.1999999999997</v>
      </c>
      <c r="P75" s="297">
        <v>276.60000000000014</v>
      </c>
      <c r="R75" s="297">
        <v>257.79999999999995</v>
      </c>
      <c r="S75" s="297"/>
      <c r="T75" s="297">
        <v>275.30000000000018</v>
      </c>
      <c r="U75" s="297"/>
      <c r="V75" s="297">
        <v>258.5</v>
      </c>
      <c r="W75" s="297"/>
      <c r="X75" s="297">
        <f>'Exhibit G State'!X75+'Exhibit G Federal'!X45</f>
        <v>250.90000000000009</v>
      </c>
      <c r="Y75" s="297"/>
      <c r="Z75" s="297"/>
      <c r="AA75" s="297"/>
      <c r="AB75" s="274">
        <v>0</v>
      </c>
      <c r="AC75" s="274"/>
      <c r="AD75" s="534"/>
      <c r="AE75" s="274">
        <f t="shared" si="7"/>
        <v>2912.3</v>
      </c>
      <c r="AF75" s="274"/>
      <c r="AG75" s="534"/>
      <c r="AH75" s="297">
        <f>'Exhibit G State'!AF75+'Exhibit G Federal'!AF45</f>
        <v>2784</v>
      </c>
      <c r="AI75" s="1062"/>
      <c r="AJ75" s="274"/>
      <c r="AK75" s="274">
        <f t="shared" si="13"/>
        <v>128.30000000000001</v>
      </c>
      <c r="AL75" s="11"/>
      <c r="AM75" s="553">
        <f>ROUND(IF(AH75=0,0,AK75/ABS(AH75)),3)</f>
        <v>4.5999999999999999E-2</v>
      </c>
      <c r="AN75" s="416"/>
      <c r="AO75" s="416"/>
      <c r="AP75" s="416"/>
      <c r="AQ75" s="416"/>
      <c r="AR75" s="416"/>
      <c r="AS75" s="416"/>
      <c r="AT75" s="416"/>
    </row>
    <row r="76" spans="1:46" ht="15" customHeight="1">
      <c r="A76" s="301"/>
      <c r="B76" s="360" t="s">
        <v>511</v>
      </c>
      <c r="C76" s="301"/>
      <c r="D76" s="297">
        <f>'Exhibit G State'!D76+'Exhibit G Federal'!D46</f>
        <v>11.7</v>
      </c>
      <c r="E76" s="297"/>
      <c r="F76" s="297">
        <f>'Exhibit G State'!F76+'Exhibit G Federal'!F46</f>
        <v>9.5</v>
      </c>
      <c r="G76" s="297"/>
      <c r="H76" s="297">
        <f>'Exhibit G State'!H76+'Exhibit G Federal'!H46</f>
        <v>11.600000000000003</v>
      </c>
      <c r="J76" s="297">
        <f>'Exhibit G State'!J76+'Exhibit G Federal'!J46</f>
        <v>13.899999999999999</v>
      </c>
      <c r="L76" s="297">
        <f>'Exhibit G State'!L76+'Exhibit G Federal'!L46</f>
        <v>12.6</v>
      </c>
      <c r="N76" s="297">
        <f>'Exhibit G State'!N76+'Exhibit G Federal'!N46</f>
        <v>13.999999999999993</v>
      </c>
      <c r="P76" s="297">
        <v>12.5</v>
      </c>
      <c r="R76" s="297">
        <v>11.500000000000007</v>
      </c>
      <c r="S76" s="297"/>
      <c r="T76" s="297">
        <v>14.299999999999997</v>
      </c>
      <c r="U76" s="297"/>
      <c r="V76" s="297">
        <v>11.800000000000004</v>
      </c>
      <c r="W76" s="297"/>
      <c r="X76" s="297">
        <f>'Exhibit G State'!X76+'Exhibit G Federal'!X46</f>
        <v>8.8999999999999986</v>
      </c>
      <c r="Y76" s="297"/>
      <c r="Z76" s="297"/>
      <c r="AA76" s="297"/>
      <c r="AB76" s="274">
        <v>0</v>
      </c>
      <c r="AC76" s="274"/>
      <c r="AD76" s="534"/>
      <c r="AE76" s="274">
        <f t="shared" si="7"/>
        <v>132.30000000000001</v>
      </c>
      <c r="AF76" s="274"/>
      <c r="AG76" s="534"/>
      <c r="AH76" s="297">
        <f>'Exhibit G State'!AF76+'Exhibit G Federal'!AF46</f>
        <v>137</v>
      </c>
      <c r="AI76" s="1062"/>
      <c r="AJ76" s="274"/>
      <c r="AK76" s="274">
        <f t="shared" si="13"/>
        <v>-4.7</v>
      </c>
      <c r="AL76" s="11"/>
      <c r="AM76" s="276">
        <f t="shared" si="15"/>
        <v>-3.4000000000000002E-2</v>
      </c>
      <c r="AN76" s="416"/>
      <c r="AO76" s="416"/>
      <c r="AP76" s="416"/>
      <c r="AQ76" s="416"/>
      <c r="AR76" s="416"/>
      <c r="AS76" s="416"/>
      <c r="AT76" s="416"/>
    </row>
    <row r="77" spans="1:46" ht="15" customHeight="1">
      <c r="A77" s="301"/>
      <c r="B77" s="360" t="s">
        <v>1445</v>
      </c>
      <c r="C77" s="301"/>
      <c r="D77" s="297">
        <f>'Exhibit G State'!D77+'Exhibit G Federal'!D47</f>
        <v>7.6</v>
      </c>
      <c r="E77" s="297"/>
      <c r="F77" s="297">
        <f>'Exhibit G State'!F77+'Exhibit G Federal'!F47</f>
        <v>2.0999999999999996</v>
      </c>
      <c r="G77" s="297"/>
      <c r="H77" s="297">
        <f>'Exhibit G State'!H77+'Exhibit G Federal'!H47</f>
        <v>1.2000000000000011</v>
      </c>
      <c r="J77" s="297">
        <f>'Exhibit G State'!J77+'Exhibit G Federal'!J47</f>
        <v>43.899999999999991</v>
      </c>
      <c r="L77" s="297">
        <f>'Exhibit G State'!L77+'Exhibit G Federal'!L47</f>
        <v>20.800000000000011</v>
      </c>
      <c r="N77" s="297">
        <f>'Exhibit G State'!N77+'Exhibit G Federal'!N47</f>
        <v>1.2000000000000028</v>
      </c>
      <c r="P77" s="297">
        <v>0.5</v>
      </c>
      <c r="R77" s="297">
        <v>4.6000000000000085</v>
      </c>
      <c r="S77" s="297"/>
      <c r="T77" s="297">
        <v>2.2999999999999972</v>
      </c>
      <c r="U77" s="297"/>
      <c r="V77" s="297">
        <v>17.100000000000009</v>
      </c>
      <c r="W77" s="297"/>
      <c r="X77" s="297">
        <f>'Exhibit G State'!X77+'Exhibit G Federal'!X47</f>
        <v>26.599999999999994</v>
      </c>
      <c r="Y77" s="297"/>
      <c r="Z77" s="297"/>
      <c r="AA77" s="297"/>
      <c r="AB77" s="274">
        <v>0</v>
      </c>
      <c r="AC77" s="274"/>
      <c r="AD77" s="534"/>
      <c r="AE77" s="274">
        <f t="shared" si="7"/>
        <v>127.9</v>
      </c>
      <c r="AF77" s="274"/>
      <c r="AG77" s="534"/>
      <c r="AH77" s="297">
        <f>'Exhibit G State'!AF77+'Exhibit G Federal'!AF47</f>
        <v>75.8</v>
      </c>
      <c r="AI77" s="1062"/>
      <c r="AJ77" s="274"/>
      <c r="AK77" s="274">
        <f t="shared" si="13"/>
        <v>52.1</v>
      </c>
      <c r="AL77" s="11"/>
      <c r="AM77" s="553">
        <f>ROUND(IF(AH77=0,1,AK77/ABS(AH77)),3)</f>
        <v>0.68700000000000006</v>
      </c>
      <c r="AN77" s="416"/>
      <c r="AO77" s="416"/>
      <c r="AP77" s="416"/>
      <c r="AQ77" s="416"/>
      <c r="AR77" s="416"/>
      <c r="AS77" s="416"/>
      <c r="AT77" s="416"/>
    </row>
    <row r="78" spans="1:46" ht="15" customHeight="1">
      <c r="A78" s="301"/>
      <c r="B78" s="360" t="s">
        <v>1472</v>
      </c>
      <c r="C78" s="301"/>
      <c r="D78" s="297">
        <f>'Exhibit G State'!D78+'Exhibit G Federal'!D48</f>
        <v>1.0999999999999999</v>
      </c>
      <c r="E78" s="297"/>
      <c r="F78" s="297">
        <f>'Exhibit G State'!F78+'Exhibit G Federal'!F48</f>
        <v>2</v>
      </c>
      <c r="G78" s="297"/>
      <c r="H78" s="297">
        <f>'Exhibit G State'!H78+'Exhibit G Federal'!H48</f>
        <v>0.79999999999999982</v>
      </c>
      <c r="J78" s="297">
        <f>'Exhibit G State'!J78+'Exhibit G Federal'!J48</f>
        <v>1.8000000000000007</v>
      </c>
      <c r="L78" s="297">
        <f>'Exhibit G State'!L78+'Exhibit G Federal'!L48</f>
        <v>1</v>
      </c>
      <c r="N78" s="297">
        <f>'Exhibit G State'!N78+'Exhibit G Federal'!N48</f>
        <v>0.70000000000000018</v>
      </c>
      <c r="P78" s="297">
        <v>0.90000000000000036</v>
      </c>
      <c r="R78" s="297">
        <v>0.79999999999999893</v>
      </c>
      <c r="S78" s="297"/>
      <c r="T78" s="297">
        <v>1.2000000000000011</v>
      </c>
      <c r="U78" s="297"/>
      <c r="V78" s="297">
        <v>3.1999999999999993</v>
      </c>
      <c r="W78" s="297"/>
      <c r="X78" s="297">
        <f>'Exhibit G State'!X78+'Exhibit G Federal'!X48</f>
        <v>0.90000000000000036</v>
      </c>
      <c r="Y78" s="297"/>
      <c r="Z78" s="297"/>
      <c r="AA78" s="297"/>
      <c r="AB78" s="274">
        <v>0</v>
      </c>
      <c r="AC78" s="274"/>
      <c r="AD78" s="534"/>
      <c r="AE78" s="274">
        <f t="shared" si="7"/>
        <v>14.4</v>
      </c>
      <c r="AF78" s="274"/>
      <c r="AG78" s="534"/>
      <c r="AH78" s="297">
        <f>'Exhibit G State'!AF78+'Exhibit G Federal'!AF48</f>
        <v>37.6</v>
      </c>
      <c r="AI78" s="1062"/>
      <c r="AJ78" s="274"/>
      <c r="AK78" s="274">
        <f t="shared" si="13"/>
        <v>-23.2</v>
      </c>
      <c r="AL78" s="11"/>
      <c r="AM78" s="276">
        <f>ROUND(IF(AH78=0,0,AK78/ABS(AH78)),3)</f>
        <v>-0.61699999999999999</v>
      </c>
      <c r="AN78" s="416"/>
      <c r="AO78" s="416"/>
      <c r="AP78" s="416"/>
      <c r="AQ78" s="416"/>
      <c r="AR78" s="416"/>
      <c r="AS78" s="416"/>
      <c r="AT78" s="416"/>
    </row>
    <row r="79" spans="1:46" ht="15" customHeight="1">
      <c r="A79" s="301"/>
      <c r="B79" s="360" t="s">
        <v>513</v>
      </c>
      <c r="C79" s="301"/>
      <c r="D79" s="297">
        <f>'Exhibit G State'!D79+'Exhibit G Federal'!D49</f>
        <v>47.4</v>
      </c>
      <c r="E79" s="297"/>
      <c r="F79" s="297">
        <f>'Exhibit G State'!F79+'Exhibit G Federal'!F49</f>
        <v>40.299999999999997</v>
      </c>
      <c r="G79" s="297"/>
      <c r="H79" s="297">
        <f>'Exhibit G State'!H79+'Exhibit G Federal'!H49</f>
        <v>47.600000000000009</v>
      </c>
      <c r="J79" s="297">
        <f>'Exhibit G State'!J79+'Exhibit G Federal'!J49</f>
        <v>48.799999999999983</v>
      </c>
      <c r="L79" s="297">
        <f>'Exhibit G State'!L79+'Exhibit G Federal'!L49</f>
        <v>52.300000000000018</v>
      </c>
      <c r="N79" s="297">
        <f>'Exhibit G State'!N79+'Exhibit G Federal'!N49</f>
        <v>43.999999999999979</v>
      </c>
      <c r="P79" s="297">
        <v>46.999999999999957</v>
      </c>
      <c r="R79" s="297">
        <v>32.500000000000057</v>
      </c>
      <c r="S79" s="297"/>
      <c r="T79" s="297">
        <v>39.79999999999999</v>
      </c>
      <c r="U79" s="297"/>
      <c r="V79" s="297">
        <v>36.099999999999987</v>
      </c>
      <c r="W79" s="297"/>
      <c r="X79" s="297">
        <f>'Exhibit G State'!X79+'Exhibit G Federal'!X49</f>
        <v>41.700000000000024</v>
      </c>
      <c r="Y79" s="297"/>
      <c r="Z79" s="297"/>
      <c r="AA79" s="297"/>
      <c r="AB79" s="274">
        <v>0</v>
      </c>
      <c r="AC79" s="274"/>
      <c r="AD79" s="534"/>
      <c r="AE79" s="274">
        <f t="shared" si="7"/>
        <v>477.5</v>
      </c>
      <c r="AF79" s="274"/>
      <c r="AG79" s="534"/>
      <c r="AH79" s="297">
        <f>'Exhibit G State'!AF79+'Exhibit G Federal'!AF49</f>
        <v>458</v>
      </c>
      <c r="AI79" s="1062"/>
      <c r="AJ79" s="274"/>
      <c r="AK79" s="274">
        <f t="shared" si="13"/>
        <v>19.5</v>
      </c>
      <c r="AL79" s="11"/>
      <c r="AM79" s="553">
        <f>ROUND(IF(AH79=0,0,AK79/ABS(AH79)),3)</f>
        <v>4.2999999999999997E-2</v>
      </c>
      <c r="AN79" s="416"/>
      <c r="AO79" s="416"/>
      <c r="AP79" s="416"/>
      <c r="AQ79" s="416"/>
      <c r="AR79" s="416"/>
      <c r="AS79" s="416"/>
      <c r="AT79" s="416"/>
    </row>
    <row r="80" spans="1:46" ht="15" customHeight="1">
      <c r="A80" s="301"/>
      <c r="B80" s="360" t="s">
        <v>432</v>
      </c>
      <c r="C80" s="301"/>
      <c r="D80" s="297">
        <f>'Exhibit G State'!D80+'Exhibit G Federal'!D50</f>
        <v>0.6</v>
      </c>
      <c r="E80" s="297"/>
      <c r="F80" s="297">
        <f>'Exhibit G State'!F80+'Exhibit G Federal'!F50</f>
        <v>0.70000000000000007</v>
      </c>
      <c r="G80" s="297"/>
      <c r="H80" s="297">
        <f>'Exhibit G State'!H80+'Exhibit G Federal'!H50</f>
        <v>1.9</v>
      </c>
      <c r="J80" s="297">
        <f>'Exhibit G State'!J80+'Exhibit G Federal'!J50</f>
        <v>0.89999999999999947</v>
      </c>
      <c r="L80" s="297">
        <f>'Exhibit G State'!L80+'Exhibit G Federal'!L50</f>
        <v>1.5000000000000004</v>
      </c>
      <c r="N80" s="297">
        <f>'Exhibit G State'!N80+'Exhibit G Federal'!N50</f>
        <v>1.4000000000000004</v>
      </c>
      <c r="P80" s="297">
        <v>1.5999999999999996</v>
      </c>
      <c r="R80" s="297">
        <v>2.3000000000000007</v>
      </c>
      <c r="S80" s="297"/>
      <c r="T80" s="297">
        <v>1.5999999999999996</v>
      </c>
      <c r="U80" s="297"/>
      <c r="V80" s="297">
        <v>1.4000000000000004</v>
      </c>
      <c r="W80" s="297"/>
      <c r="X80" s="297">
        <f>'Exhibit G State'!X80+'Exhibit G Federal'!X50</f>
        <v>2.2000000000000011</v>
      </c>
      <c r="Y80" s="297"/>
      <c r="Z80" s="297"/>
      <c r="AA80" s="297"/>
      <c r="AB80" s="274">
        <v>0</v>
      </c>
      <c r="AC80" s="274"/>
      <c r="AD80" s="534"/>
      <c r="AE80" s="274">
        <f t="shared" si="7"/>
        <v>16.100000000000001</v>
      </c>
      <c r="AF80" s="274"/>
      <c r="AG80" s="534"/>
      <c r="AH80" s="297">
        <f>'Exhibit G State'!AF80+'Exhibit G Federal'!AF50</f>
        <v>15.5</v>
      </c>
      <c r="AI80" s="1062"/>
      <c r="AJ80" s="274"/>
      <c r="AK80" s="274">
        <f t="shared" si="13"/>
        <v>0.6</v>
      </c>
      <c r="AL80" s="11"/>
      <c r="AM80" s="276">
        <f>ROUND(IF(AH80=0,0,AK80/ABS(AH80)),3)</f>
        <v>3.9E-2</v>
      </c>
      <c r="AN80" s="416"/>
      <c r="AO80" s="416"/>
      <c r="AP80" s="416"/>
      <c r="AQ80" s="416"/>
      <c r="AR80" s="416"/>
      <c r="AS80" s="416"/>
      <c r="AT80" s="416"/>
    </row>
    <row r="81" spans="1:46" ht="15" customHeight="1">
      <c r="A81" s="301"/>
      <c r="B81" s="360" t="s">
        <v>1446</v>
      </c>
      <c r="C81" s="301"/>
      <c r="D81" s="297">
        <f>'Exhibit G State'!D81+'Exhibit G Federal'!D51</f>
        <v>-16.5</v>
      </c>
      <c r="E81" s="297"/>
      <c r="F81" s="297">
        <f>'Exhibit G State'!F81+'Exhibit G Federal'!F51</f>
        <v>41.8</v>
      </c>
      <c r="G81" s="297"/>
      <c r="H81" s="297">
        <f>'Exhibit G State'!H81+'Exhibit G Federal'!H51</f>
        <v>25.299999999999997</v>
      </c>
      <c r="J81" s="297">
        <f>'Exhibit G State'!J81+'Exhibit G Federal'!J51</f>
        <v>36.300000000000011</v>
      </c>
      <c r="L81" s="297">
        <f>'Exhibit G State'!L81+'Exhibit G Federal'!L51</f>
        <v>156.09999999999997</v>
      </c>
      <c r="N81" s="297">
        <f>'Exhibit G State'!N81+'Exhibit G Federal'!N51</f>
        <v>340.20000000000016</v>
      </c>
      <c r="P81" s="297">
        <v>142.0999999999998</v>
      </c>
      <c r="R81" s="297">
        <v>28.300000000000068</v>
      </c>
      <c r="S81" s="297"/>
      <c r="T81" s="297">
        <v>13.299999999999955</v>
      </c>
      <c r="U81" s="297"/>
      <c r="V81" s="297">
        <v>263.4000000000002</v>
      </c>
      <c r="W81" s="297"/>
      <c r="X81" s="297">
        <f>'Exhibit G State'!X81+'Exhibit G Federal'!X51</f>
        <v>288.29999999999973</v>
      </c>
      <c r="Y81" s="297"/>
      <c r="Z81" s="297"/>
      <c r="AA81" s="297"/>
      <c r="AB81" s="274">
        <v>0</v>
      </c>
      <c r="AC81" s="274"/>
      <c r="AD81" s="534"/>
      <c r="AE81" s="274">
        <f t="shared" si="7"/>
        <v>1318.6</v>
      </c>
      <c r="AF81" s="274"/>
      <c r="AG81" s="534"/>
      <c r="AH81" s="297">
        <f>'Exhibit G State'!AF81+'Exhibit G Federal'!AF51</f>
        <v>1305.2</v>
      </c>
      <c r="AI81" s="1062"/>
      <c r="AJ81" s="274"/>
      <c r="AK81" s="274">
        <f t="shared" si="13"/>
        <v>13.4</v>
      </c>
      <c r="AL81" s="11"/>
      <c r="AM81" s="276">
        <f>ROUND(IF(AH81=0,0,AK81/ABS(AH81)),3)</f>
        <v>0.01</v>
      </c>
      <c r="AN81" s="416"/>
      <c r="AO81" s="416"/>
      <c r="AP81" s="416"/>
      <c r="AQ81" s="416"/>
      <c r="AR81" s="416"/>
      <c r="AS81" s="416"/>
      <c r="AT81" s="416"/>
    </row>
    <row r="82" spans="1:46" s="61" customFormat="1" ht="15" customHeight="1">
      <c r="A82" s="3"/>
      <c r="B82" s="88" t="s">
        <v>514</v>
      </c>
      <c r="C82" s="3"/>
      <c r="D82" s="687">
        <f>ROUND(SUM(D42:D81),1)</f>
        <v>1859</v>
      </c>
      <c r="E82"/>
      <c r="F82" s="687">
        <f>ROUND(SUM(F42:F81),1)</f>
        <v>1786.8</v>
      </c>
      <c r="G82"/>
      <c r="H82" s="687">
        <f>ROUND(SUM(H42:H81),1)</f>
        <v>1790.4</v>
      </c>
      <c r="I82"/>
      <c r="J82" s="687">
        <f>ROUND(SUM(J42:J81),1)</f>
        <v>1961.9</v>
      </c>
      <c r="K82"/>
      <c r="L82" s="687">
        <f>ROUND(SUM(L42:L81),1)</f>
        <v>1868.4</v>
      </c>
      <c r="M82"/>
      <c r="N82" s="687">
        <f>ROUND(SUM(N42:N81),1)</f>
        <v>2264.1999999999998</v>
      </c>
      <c r="O82"/>
      <c r="P82" s="687">
        <f>ROUND(SUM(P42:P81),1)</f>
        <v>2104.3000000000002</v>
      </c>
      <c r="Q82"/>
      <c r="R82" s="687">
        <f>ROUND(SUM(R42:R81),1)</f>
        <v>1854</v>
      </c>
      <c r="S82"/>
      <c r="T82" s="687">
        <f>ROUND(SUM(T42:T81),1)</f>
        <v>1876.5</v>
      </c>
      <c r="U82"/>
      <c r="V82" s="687">
        <f>ROUND(SUM(V42:V81),1)</f>
        <v>2227.5</v>
      </c>
      <c r="W82"/>
      <c r="X82" s="687">
        <f>ROUND(SUM(X42:X81),1)</f>
        <v>2171</v>
      </c>
      <c r="Y82"/>
      <c r="Z82" s="687">
        <f>ROUND(SUM(Z42:Z81),1)</f>
        <v>0</v>
      </c>
      <c r="AA82" s="13"/>
      <c r="AB82" s="687">
        <f>SUM(AB42:AB81)</f>
        <v>0</v>
      </c>
      <c r="AC82" s="13"/>
      <c r="AD82" s="14"/>
      <c r="AE82" s="687">
        <f>ROUND(SUM(AE42:AE81),1)</f>
        <v>21764</v>
      </c>
      <c r="AF82" s="13"/>
      <c r="AG82" s="14"/>
      <c r="AH82" s="687">
        <f>ROUND(SUM(AH42:AH81),1)</f>
        <v>21331.9</v>
      </c>
      <c r="AI82" s="79"/>
      <c r="AJ82" s="13"/>
      <c r="AK82" s="687">
        <f>ROUND(SUM(AK42:AK81),1)</f>
        <v>432.1</v>
      </c>
      <c r="AL82" s="207"/>
      <c r="AM82" s="946">
        <f>ROUND(SUM(+AK82/AH82),3)</f>
        <v>0.02</v>
      </c>
      <c r="AN82" s="416"/>
      <c r="AO82" s="416"/>
      <c r="AP82" s="416"/>
      <c r="AQ82" s="416"/>
      <c r="AR82" s="416"/>
      <c r="AS82" s="416"/>
      <c r="AT82" s="416"/>
    </row>
    <row r="83" spans="1:46" ht="15" customHeight="1">
      <c r="A83" s="301"/>
      <c r="B83" s="360"/>
      <c r="C83" s="301"/>
      <c r="D83" s="11"/>
      <c r="F83" s="11"/>
      <c r="H83" s="11"/>
      <c r="J83" s="274"/>
      <c r="L83" s="274"/>
      <c r="N83" s="274"/>
      <c r="P83" s="274"/>
      <c r="R83" s="274"/>
      <c r="T83" s="274"/>
      <c r="V83" s="297"/>
      <c r="X83" s="297"/>
      <c r="Z83" s="297"/>
      <c r="AA83" s="11"/>
      <c r="AB83" s="274"/>
      <c r="AC83" s="1264"/>
      <c r="AD83" s="274"/>
      <c r="AE83" s="274"/>
      <c r="AF83" s="274"/>
      <c r="AG83" s="534"/>
      <c r="AH83" s="274"/>
      <c r="AI83" s="530"/>
      <c r="AJ83" s="274"/>
      <c r="AK83" s="274"/>
      <c r="AL83" s="11"/>
      <c r="AM83" s="293"/>
      <c r="AN83" s="416"/>
      <c r="AO83" s="416"/>
      <c r="AP83" s="416"/>
      <c r="AQ83" s="416"/>
      <c r="AR83" s="416"/>
      <c r="AS83" s="416"/>
      <c r="AT83" s="416"/>
    </row>
    <row r="84" spans="1:46" ht="15" customHeight="1">
      <c r="A84" s="301"/>
      <c r="B84" s="1063" t="s">
        <v>515</v>
      </c>
      <c r="C84" s="301"/>
      <c r="D84" s="297">
        <f>'Exhibit G State'!D84+'Exhibit G Federal'!D54</f>
        <v>8035.2</v>
      </c>
      <c r="E84" s="297"/>
      <c r="F84" s="297">
        <f>'Exhibit G State'!F84+'Exhibit G Federal'!F54</f>
        <v>7408.2999999999993</v>
      </c>
      <c r="G84" s="297"/>
      <c r="H84" s="297">
        <f>'Exhibit G State'!H84+'Exhibit G Federal'!H54</f>
        <v>7737.9000000000005</v>
      </c>
      <c r="J84" s="297">
        <f>'Exhibit G State'!J84+'Exhibit G Federal'!J54</f>
        <v>7184.4000000000024</v>
      </c>
      <c r="L84" s="297">
        <f>'Exhibit G State'!L84+'Exhibit G Federal'!L54</f>
        <v>9850.7000000000025</v>
      </c>
      <c r="N84" s="297">
        <f>'Exhibit G State'!N84+'Exhibit G Federal'!N54</f>
        <v>7466.1999999999907</v>
      </c>
      <c r="P84" s="297">
        <v>7365.1</v>
      </c>
      <c r="R84" s="297">
        <v>7891.4</v>
      </c>
      <c r="S84" s="297"/>
      <c r="T84" s="297">
        <v>5018</v>
      </c>
      <c r="U84" s="297"/>
      <c r="V84" s="297">
        <v>6305</v>
      </c>
      <c r="W84" s="297"/>
      <c r="X84" s="297">
        <f>'Exhibit G State'!X84+'Exhibit G Federal'!X54</f>
        <v>9782.1999999999971</v>
      </c>
      <c r="Z84" s="297"/>
      <c r="AA84" s="297"/>
      <c r="AB84" s="393">
        <v>0</v>
      </c>
      <c r="AC84" s="1264"/>
      <c r="AD84" s="274"/>
      <c r="AE84" s="274">
        <f t="shared" si="7"/>
        <v>84044.4</v>
      </c>
      <c r="AF84" s="274"/>
      <c r="AG84" s="534"/>
      <c r="AH84" s="297">
        <f>'Exhibit G State'!AF84+'Exhibit G Federal'!AF54</f>
        <v>84552.200000000012</v>
      </c>
      <c r="AI84" s="530"/>
      <c r="AJ84" s="274"/>
      <c r="AK84" s="274">
        <f>ROUND(SUM(+AE84-AH84),1)</f>
        <v>-507.8</v>
      </c>
      <c r="AL84" s="11"/>
      <c r="AM84" s="276">
        <f>ROUND(IF(AH84=0,0,AK84/ABS(AH84)),3)</f>
        <v>-6.0000000000000001E-3</v>
      </c>
      <c r="AN84" s="416"/>
      <c r="AO84" s="416"/>
      <c r="AP84" s="416"/>
      <c r="AQ84" s="416"/>
      <c r="AR84" s="416"/>
      <c r="AS84" s="416"/>
      <c r="AT84" s="416"/>
    </row>
    <row r="85" spans="1:46" ht="15" customHeight="1">
      <c r="A85" s="301"/>
      <c r="B85" s="301"/>
      <c r="C85" s="301"/>
      <c r="D85" s="629"/>
      <c r="F85" s="629"/>
      <c r="H85" s="629"/>
      <c r="J85" s="629"/>
      <c r="L85" s="629"/>
      <c r="N85" s="629"/>
      <c r="P85" s="629"/>
      <c r="R85" s="629"/>
      <c r="T85" s="629"/>
      <c r="V85" s="629"/>
      <c r="X85" s="629"/>
      <c r="Z85" s="629"/>
      <c r="AA85" s="274"/>
      <c r="AB85" s="274"/>
      <c r="AC85" s="1264"/>
      <c r="AD85" s="274"/>
      <c r="AE85" s="629"/>
      <c r="AF85" s="274"/>
      <c r="AG85" s="534"/>
      <c r="AH85" s="629"/>
      <c r="AI85" s="530"/>
      <c r="AJ85" s="274"/>
      <c r="AK85" s="1064"/>
      <c r="AL85" s="374"/>
      <c r="AM85" s="1065"/>
      <c r="AN85" s="416"/>
      <c r="AO85" s="416"/>
      <c r="AP85" s="416"/>
      <c r="AQ85" s="416"/>
      <c r="AR85" s="416"/>
      <c r="AS85" s="416"/>
      <c r="AT85" s="416"/>
    </row>
    <row r="86" spans="1:46" ht="15" customHeight="1">
      <c r="A86" s="301"/>
      <c r="B86" s="3" t="s">
        <v>435</v>
      </c>
      <c r="C86" s="301"/>
      <c r="D86" s="13">
        <f>ROUND(SUM(D84+D82+D38),1)</f>
        <v>10435.5</v>
      </c>
      <c r="F86" s="13">
        <f>ROUND(SUM(F84+F82+F38),1)</f>
        <v>9454.2000000000007</v>
      </c>
      <c r="H86" s="13">
        <f>ROUND(SUM(H84+H82+H38),1)</f>
        <v>10166</v>
      </c>
      <c r="J86" s="13">
        <f>ROUND(SUM(J84+J82+J38),1)</f>
        <v>9425.7000000000007</v>
      </c>
      <c r="L86" s="13">
        <f>ROUND(SUM(L84+L82+L38),1)</f>
        <v>11958</v>
      </c>
      <c r="N86" s="13">
        <f>ROUND(SUM(N84+N82+N38),1)</f>
        <v>10353.4</v>
      </c>
      <c r="P86" s="13">
        <f>ROUND(SUM(P84+P82+P38),1)</f>
        <v>9771.2999999999993</v>
      </c>
      <c r="R86" s="13">
        <f>ROUND(SUM(R84+R82+R38),1)</f>
        <v>9971.5</v>
      </c>
      <c r="T86" s="13">
        <f>ROUND(SUM(T84+T82+T38),1)</f>
        <v>7529.6</v>
      </c>
      <c r="V86" s="13">
        <f>ROUND(SUM(V84+V82+V38),1)</f>
        <v>10308.5</v>
      </c>
      <c r="X86" s="13">
        <f>ROUND(SUM(X84+X82+X38),1)</f>
        <v>12113.4</v>
      </c>
      <c r="Z86" s="13">
        <f>ROUND(SUM(Z84+Z82+Z38),1)</f>
        <v>0</v>
      </c>
      <c r="AA86" s="13"/>
      <c r="AB86" s="367">
        <f>ROUND(SUM(AB84+AB82+AB38),1)</f>
        <v>0</v>
      </c>
      <c r="AC86" s="1266"/>
      <c r="AD86" s="13"/>
      <c r="AE86" s="13">
        <f>ROUND(SUM(AE84+AE82+AE38),1)</f>
        <v>111487.1</v>
      </c>
      <c r="AF86" s="13"/>
      <c r="AG86" s="14"/>
      <c r="AH86" s="13">
        <f>ROUND(SUM(AH84+AH82+AH38),1)</f>
        <v>111535.5</v>
      </c>
      <c r="AI86" s="79"/>
      <c r="AJ86" s="13"/>
      <c r="AK86" s="367">
        <f>ROUND(SUM(AK84+AK82+AK38),1)</f>
        <v>-48.4</v>
      </c>
      <c r="AL86" s="80"/>
      <c r="AM86" s="378">
        <f>ROUND(SUM(+AK86/AH86),3)</f>
        <v>0</v>
      </c>
      <c r="AN86" s="416"/>
      <c r="AO86" s="416"/>
      <c r="AP86" s="416"/>
      <c r="AQ86" s="416"/>
      <c r="AR86" s="416"/>
      <c r="AS86" s="416"/>
      <c r="AT86" s="416"/>
    </row>
    <row r="87" spans="1:46" ht="15" customHeight="1">
      <c r="A87" s="301"/>
      <c r="B87" s="301"/>
      <c r="C87" s="301"/>
      <c r="D87" s="629"/>
      <c r="F87" s="629"/>
      <c r="H87" s="629"/>
      <c r="J87" s="629"/>
      <c r="L87" s="629"/>
      <c r="N87" s="629"/>
      <c r="P87" s="629"/>
      <c r="R87" s="629"/>
      <c r="T87" s="629"/>
      <c r="V87" s="629"/>
      <c r="X87" s="629"/>
      <c r="Z87" s="629"/>
      <c r="AA87" s="274"/>
      <c r="AB87" s="274"/>
      <c r="AC87" s="274"/>
      <c r="AD87" s="534"/>
      <c r="AE87" s="629"/>
      <c r="AF87" s="274"/>
      <c r="AG87" s="534"/>
      <c r="AH87" s="629"/>
      <c r="AI87" s="530"/>
      <c r="AJ87" s="274"/>
      <c r="AK87" s="274"/>
      <c r="AL87" s="374"/>
      <c r="AM87" s="293"/>
      <c r="AN87" s="416"/>
      <c r="AO87" s="416"/>
      <c r="AP87" s="416"/>
      <c r="AQ87" s="416"/>
      <c r="AR87" s="416"/>
      <c r="AS87" s="416"/>
      <c r="AT87" s="416"/>
    </row>
    <row r="88" spans="1:46" ht="15" customHeight="1">
      <c r="A88" s="301"/>
      <c r="B88" s="1248" t="s">
        <v>122</v>
      </c>
      <c r="C88" s="301"/>
      <c r="D88" s="274"/>
      <c r="F88" s="274"/>
      <c r="H88" s="274"/>
      <c r="J88" s="274"/>
      <c r="L88" s="274"/>
      <c r="N88" s="274"/>
      <c r="P88" s="274"/>
      <c r="R88" s="274"/>
      <c r="T88" s="274"/>
      <c r="V88" s="274"/>
      <c r="X88" s="274"/>
      <c r="Z88" s="274"/>
      <c r="AA88" s="274"/>
      <c r="AB88" s="274"/>
      <c r="AC88" s="274"/>
      <c r="AD88" s="534"/>
      <c r="AE88" s="274"/>
      <c r="AF88" s="1264"/>
      <c r="AG88" s="535"/>
      <c r="AH88" s="274"/>
      <c r="AI88" s="530"/>
      <c r="AJ88" s="274"/>
      <c r="AK88" s="274"/>
      <c r="AL88" s="374"/>
      <c r="AM88" s="293"/>
      <c r="AN88" s="416"/>
      <c r="AO88" s="416"/>
      <c r="AP88" s="416"/>
      <c r="AQ88" s="416"/>
      <c r="AR88" s="416"/>
      <c r="AS88" s="416"/>
      <c r="AT88" s="416"/>
    </row>
    <row r="89" spans="1:46" ht="15" customHeight="1">
      <c r="A89" s="301"/>
      <c r="B89" s="301" t="s">
        <v>459</v>
      </c>
      <c r="C89" s="301"/>
      <c r="D89" s="11"/>
      <c r="F89" s="11"/>
      <c r="H89" s="11"/>
      <c r="J89" s="274"/>
      <c r="L89" s="274"/>
      <c r="N89" s="274"/>
      <c r="P89" s="274"/>
      <c r="R89" s="274"/>
      <c r="T89" s="274"/>
      <c r="V89" s="274"/>
      <c r="X89" s="274"/>
      <c r="Z89" s="297"/>
      <c r="AA89" s="11"/>
      <c r="AB89" s="274"/>
      <c r="AC89" s="274"/>
      <c r="AD89" s="534"/>
      <c r="AE89" s="274"/>
      <c r="AF89" s="274"/>
      <c r="AG89" s="534"/>
      <c r="AH89" s="274"/>
      <c r="AI89" s="530"/>
      <c r="AJ89" s="274"/>
      <c r="AK89" s="274"/>
      <c r="AL89" s="374"/>
      <c r="AM89" s="293"/>
      <c r="AN89" s="416"/>
      <c r="AO89" s="416"/>
      <c r="AP89" s="416"/>
      <c r="AQ89" s="416"/>
      <c r="AR89" s="416"/>
      <c r="AS89" s="416"/>
      <c r="AT89" s="416"/>
    </row>
    <row r="90" spans="1:46" ht="15" customHeight="1">
      <c r="A90" s="301"/>
      <c r="B90" s="395" t="s">
        <v>124</v>
      </c>
      <c r="C90" s="301"/>
      <c r="D90" s="297">
        <f>'Exhibit G State'!D90+'Exhibit G Federal'!D60</f>
        <v>655.4</v>
      </c>
      <c r="E90" s="297"/>
      <c r="F90" s="297">
        <f>'Exhibit G State'!F90+'Exhibit G Federal'!F60</f>
        <v>497.99999999999989</v>
      </c>
      <c r="G90" s="297"/>
      <c r="H90" s="297">
        <f>'Exhibit G State'!H90+'Exhibit G Federal'!H60</f>
        <v>1156.9000000000003</v>
      </c>
      <c r="J90" s="297">
        <f>'Exhibit G State'!J90+'Exhibit G Federal'!J60</f>
        <v>466.09999999999991</v>
      </c>
      <c r="L90" s="297">
        <f>'Exhibit G State'!L90+'Exhibit G Federal'!L60</f>
        <v>2532.9999999999991</v>
      </c>
      <c r="N90" s="297">
        <f>'Exhibit G State'!N90+'Exhibit G Federal'!N60</f>
        <v>4072.9000000000005</v>
      </c>
      <c r="P90" s="297">
        <v>475.19999999999982</v>
      </c>
      <c r="R90" s="297">
        <v>677.60000000000036</v>
      </c>
      <c r="S90" s="297"/>
      <c r="T90" s="297">
        <v>924.60000000000036</v>
      </c>
      <c r="U90" s="297"/>
      <c r="V90" s="297">
        <v>2127.2999999999984</v>
      </c>
      <c r="W90" s="297"/>
      <c r="X90" s="297">
        <f>'Exhibit G State'!X90+'Exhibit G Federal'!X60</f>
        <v>487.70000000000073</v>
      </c>
      <c r="Y90" s="297"/>
      <c r="Z90" s="297"/>
      <c r="AA90" s="297"/>
      <c r="AB90" s="274">
        <v>0</v>
      </c>
      <c r="AC90" s="274"/>
      <c r="AD90" s="534"/>
      <c r="AE90" s="274">
        <f>ROUND(SUM(D90:Z90),1)</f>
        <v>14074.7</v>
      </c>
      <c r="AF90" s="274"/>
      <c r="AG90" s="534"/>
      <c r="AH90" s="297">
        <f>'Exhibit G State'!AF90+'Exhibit G Federal'!AF60</f>
        <v>13644.2</v>
      </c>
      <c r="AI90" s="530"/>
      <c r="AJ90" s="274"/>
      <c r="AK90" s="274">
        <f>ROUND(SUM(+AE90-AH90),1)</f>
        <v>430.5</v>
      </c>
      <c r="AL90" s="11"/>
      <c r="AM90" s="276">
        <f>ROUND(IF(AH90=0,0,AK90/ABS(AH90)),3)</f>
        <v>3.2000000000000001E-2</v>
      </c>
      <c r="AN90" s="416"/>
      <c r="AO90" s="416"/>
      <c r="AP90" s="416"/>
      <c r="AQ90" s="416"/>
      <c r="AR90" s="416"/>
      <c r="AS90" s="416"/>
      <c r="AT90" s="1304"/>
    </row>
    <row r="91" spans="1:46" ht="15" customHeight="1">
      <c r="A91" s="301"/>
      <c r="B91" s="395" t="s">
        <v>1448</v>
      </c>
      <c r="C91" s="301"/>
      <c r="D91" s="297">
        <f>'Exhibit G State'!D91+'Exhibit G Federal'!D61</f>
        <v>0.1</v>
      </c>
      <c r="E91" s="297"/>
      <c r="F91" s="297">
        <f>'Exhibit G State'!F91+'Exhibit G Federal'!F61</f>
        <v>0.2</v>
      </c>
      <c r="G91" s="297"/>
      <c r="H91" s="297">
        <f>'Exhibit G State'!H91+'Exhibit G Federal'!H61</f>
        <v>0.1</v>
      </c>
      <c r="J91" s="297">
        <f>'Exhibit G State'!J91+'Exhibit G Federal'!J61</f>
        <v>1.6</v>
      </c>
      <c r="L91" s="297">
        <f>'Exhibit G State'!L91+'Exhibit G Federal'!L61</f>
        <v>0.19999999999999996</v>
      </c>
      <c r="N91" s="297">
        <f>'Exhibit G State'!N91+'Exhibit G Federal'!N61</f>
        <v>0.89999999999999991</v>
      </c>
      <c r="P91" s="297">
        <v>0.90000000000000036</v>
      </c>
      <c r="R91" s="297">
        <v>3.4999999999999996</v>
      </c>
      <c r="S91" s="297"/>
      <c r="T91" s="297">
        <v>0.69999999999999973</v>
      </c>
      <c r="U91" s="297"/>
      <c r="V91" s="297">
        <v>0.30000000000000027</v>
      </c>
      <c r="W91" s="297"/>
      <c r="X91" s="297">
        <f>'Exhibit G State'!X91+'Exhibit G Federal'!X61</f>
        <v>0.29999999999999982</v>
      </c>
      <c r="Y91" s="297"/>
      <c r="Z91" s="297"/>
      <c r="AA91" s="297"/>
      <c r="AB91" s="274">
        <v>0</v>
      </c>
      <c r="AC91" s="274"/>
      <c r="AD91" s="534"/>
      <c r="AE91" s="274">
        <f>ROUND(SUM(D91:Z91),1)</f>
        <v>8.8000000000000007</v>
      </c>
      <c r="AF91" s="274"/>
      <c r="AG91" s="534"/>
      <c r="AH91" s="297">
        <f>'Exhibit G State'!AF91+'Exhibit G Federal'!AF61</f>
        <v>6.1</v>
      </c>
      <c r="AI91" s="530"/>
      <c r="AJ91" s="274"/>
      <c r="AK91" s="274">
        <f>ROUND(SUM(+AE91-AH91),1)</f>
        <v>2.7</v>
      </c>
      <c r="AL91" s="11"/>
      <c r="AM91" s="553">
        <f>ROUND(IF(AH91=0,1,AK91/ABS(AH91)),3)</f>
        <v>0.443</v>
      </c>
      <c r="AN91" s="416"/>
      <c r="AO91" s="416"/>
      <c r="AP91" s="416"/>
      <c r="AQ91" s="416"/>
      <c r="AR91" s="416"/>
      <c r="AS91" s="1304"/>
      <c r="AT91" s="1304"/>
    </row>
    <row r="92" spans="1:46" ht="15" customHeight="1">
      <c r="A92" s="301"/>
      <c r="B92" s="395" t="s">
        <v>1447</v>
      </c>
      <c r="C92" s="301"/>
      <c r="D92" s="297">
        <f>'Exhibit G State'!D92+'Exhibit G Federal'!D62</f>
        <v>11.5</v>
      </c>
      <c r="E92" s="297"/>
      <c r="F92" s="297">
        <f>'Exhibit G State'!F92+'Exhibit G Federal'!F62</f>
        <v>40.699999999999996</v>
      </c>
      <c r="G92" s="297"/>
      <c r="H92" s="297">
        <f>'Exhibit G State'!H92+'Exhibit G Federal'!H62</f>
        <v>10.000000000000002</v>
      </c>
      <c r="J92" s="297">
        <f>'Exhibit G State'!J92+'Exhibit G Federal'!J62</f>
        <v>45.500000000000014</v>
      </c>
      <c r="L92" s="297">
        <f>'Exhibit G State'!L92+'Exhibit G Federal'!L62</f>
        <v>31.699999999999989</v>
      </c>
      <c r="N92" s="297">
        <f>'Exhibit G State'!N92+'Exhibit G Federal'!N62</f>
        <v>7.9000000000000057</v>
      </c>
      <c r="P92" s="297">
        <v>28.799999999999983</v>
      </c>
      <c r="R92" s="297">
        <v>23.700000000000017</v>
      </c>
      <c r="S92" s="297"/>
      <c r="T92" s="297">
        <v>8.4999999999999929</v>
      </c>
      <c r="U92" s="297"/>
      <c r="V92" s="297">
        <v>29.999999999999993</v>
      </c>
      <c r="W92" s="297"/>
      <c r="X92" s="297">
        <f>'Exhibit G State'!X92+'Exhibit G Federal'!X62</f>
        <v>34.9</v>
      </c>
      <c r="Y92" s="297"/>
      <c r="Z92" s="297"/>
      <c r="AA92" s="297"/>
      <c r="AB92" s="274">
        <v>0</v>
      </c>
      <c r="AC92" s="274"/>
      <c r="AD92" s="534"/>
      <c r="AE92" s="274">
        <f>ROUND(SUM(D92:Z92),1)</f>
        <v>273.2</v>
      </c>
      <c r="AF92" s="274"/>
      <c r="AG92" s="534"/>
      <c r="AH92" s="297">
        <f>'Exhibit G State'!AF92+'Exhibit G Federal'!AF62</f>
        <v>239.70000000000002</v>
      </c>
      <c r="AI92" s="530"/>
      <c r="AJ92" s="274"/>
      <c r="AK92" s="274">
        <f>ROUND(SUM(+AE92-AH92),1)</f>
        <v>33.5</v>
      </c>
      <c r="AL92" s="11"/>
      <c r="AM92" s="553">
        <f>ROUND(IF(AH92=0,0,AK92/ABS(AH92)),3)</f>
        <v>0.14000000000000001</v>
      </c>
      <c r="AN92" s="416"/>
      <c r="AO92" s="416"/>
      <c r="AP92" s="416"/>
      <c r="AQ92" s="416"/>
      <c r="AR92" s="416"/>
      <c r="AS92" s="1304"/>
      <c r="AT92" s="1304"/>
    </row>
    <row r="93" spans="1:46" ht="15" customHeight="1">
      <c r="A93" s="301"/>
      <c r="B93" s="395" t="s">
        <v>127</v>
      </c>
      <c r="C93" s="301"/>
      <c r="D93" s="274"/>
      <c r="E93" s="274"/>
      <c r="F93" s="274"/>
      <c r="G93" s="274"/>
      <c r="H93" s="274"/>
      <c r="J93" s="274"/>
      <c r="L93" s="274"/>
      <c r="N93" s="274"/>
      <c r="P93" s="274"/>
      <c r="R93" s="274"/>
      <c r="S93" s="274"/>
      <c r="T93" s="274"/>
      <c r="U93" s="274"/>
      <c r="V93" s="274"/>
      <c r="W93" s="274"/>
      <c r="X93" s="274"/>
      <c r="Y93" s="274"/>
      <c r="Z93" s="274"/>
      <c r="AA93" s="274"/>
      <c r="AB93" s="274" t="s">
        <v>103</v>
      </c>
      <c r="AC93" s="274"/>
      <c r="AD93" s="534"/>
      <c r="AE93" s="274"/>
      <c r="AF93" s="274"/>
      <c r="AG93" s="534"/>
      <c r="AH93" s="274"/>
      <c r="AI93" s="530"/>
      <c r="AJ93" s="274"/>
      <c r="AK93" s="274" t="s">
        <v>103</v>
      </c>
      <c r="AL93" s="278" t="s">
        <v>103</v>
      </c>
      <c r="AM93" s="293" t="s">
        <v>103</v>
      </c>
      <c r="AN93" s="416"/>
      <c r="AO93" s="416"/>
      <c r="AP93" s="416"/>
      <c r="AQ93" s="416"/>
      <c r="AR93" s="416"/>
      <c r="AS93" s="416"/>
      <c r="AT93" s="416"/>
    </row>
    <row r="94" spans="1:46" ht="15" customHeight="1">
      <c r="A94" s="301"/>
      <c r="B94" s="1055" t="s">
        <v>128</v>
      </c>
      <c r="C94" s="301"/>
      <c r="D94" s="297">
        <f>'Exhibit G State'!D94+'Exhibit G Federal'!D64</f>
        <v>3924.7</v>
      </c>
      <c r="E94" s="297"/>
      <c r="F94" s="297">
        <f>'Exhibit G State'!F94+'Exhibit G Federal'!F64</f>
        <v>5171.4000000000005</v>
      </c>
      <c r="G94" s="297"/>
      <c r="H94" s="297">
        <f>'Exhibit G State'!H94+'Exhibit G Federal'!H64</f>
        <v>5009.7999999999984</v>
      </c>
      <c r="J94" s="297">
        <f>'Exhibit G State'!J94+'Exhibit G Federal'!J64</f>
        <v>5293.2999999999993</v>
      </c>
      <c r="L94" s="297">
        <f>'Exhibit G State'!L94+'Exhibit G Federal'!L64</f>
        <v>4473.9000000000005</v>
      </c>
      <c r="N94" s="297">
        <f>'Exhibit G State'!N94+'Exhibit G Federal'!N64</f>
        <v>4955.2000000000016</v>
      </c>
      <c r="P94" s="297">
        <v>5643.1999999999989</v>
      </c>
      <c r="R94" s="297">
        <v>4549.6999999999989</v>
      </c>
      <c r="S94" s="297"/>
      <c r="T94" s="297">
        <v>4655.6000000000004</v>
      </c>
      <c r="U94" s="297"/>
      <c r="V94" s="297">
        <v>4358.3</v>
      </c>
      <c r="W94" s="297"/>
      <c r="X94" s="297">
        <f>'Exhibit G State'!X94+'Exhibit G Federal'!X64</f>
        <v>5732.1</v>
      </c>
      <c r="Y94" s="297"/>
      <c r="Z94" s="297"/>
      <c r="AA94" s="297"/>
      <c r="AB94" s="274">
        <v>0</v>
      </c>
      <c r="AC94" s="274"/>
      <c r="AD94" s="534"/>
      <c r="AE94" s="274">
        <f t="shared" ref="AE94:AE99" si="16">ROUND(SUM(D94:Z94),1)</f>
        <v>53767.199999999997</v>
      </c>
      <c r="AF94" s="274"/>
      <c r="AG94" s="534"/>
      <c r="AH94" s="297">
        <f>'Exhibit G State'!AF94+'Exhibit G Federal'!AF64</f>
        <v>55984.2</v>
      </c>
      <c r="AI94" s="530"/>
      <c r="AJ94" s="274"/>
      <c r="AK94" s="274">
        <f t="shared" ref="AK94:AK99" si="17">ROUND(SUM(+AE94-AH94),1)</f>
        <v>-2217</v>
      </c>
      <c r="AL94" s="11"/>
      <c r="AM94" s="276">
        <f>ROUND(IF(AH94=0,0,AK94/ABS(AH94)),3)</f>
        <v>-0.04</v>
      </c>
      <c r="AN94" s="416"/>
      <c r="AO94" s="416"/>
      <c r="AP94" s="416"/>
      <c r="AQ94" s="416"/>
      <c r="AR94" s="416"/>
      <c r="AS94" s="416"/>
      <c r="AT94" s="416"/>
    </row>
    <row r="95" spans="1:46" ht="15" customHeight="1">
      <c r="A95" s="301"/>
      <c r="B95" s="395" t="s">
        <v>129</v>
      </c>
      <c r="C95" s="301"/>
      <c r="D95" s="297">
        <f>'Exhibit G State'!D95+'Exhibit G Federal'!D65</f>
        <v>1076.2</v>
      </c>
      <c r="E95" s="297"/>
      <c r="F95" s="297">
        <f>'Exhibit G State'!F95+'Exhibit G Federal'!F65</f>
        <v>1212.1999999999998</v>
      </c>
      <c r="G95" s="297"/>
      <c r="H95" s="297">
        <f>'Exhibit G State'!H95+'Exhibit G Federal'!H65</f>
        <v>1902.8</v>
      </c>
      <c r="J95" s="297">
        <f>'Exhibit G State'!J95+'Exhibit G Federal'!J65</f>
        <v>1202.6000000000004</v>
      </c>
      <c r="L95" s="297">
        <f>'Exhibit G State'!L95+'Exhibit G Federal'!L65</f>
        <v>1432</v>
      </c>
      <c r="N95" s="297">
        <f>'Exhibit G State'!N95+'Exhibit G Federal'!N65</f>
        <v>1620.3</v>
      </c>
      <c r="P95" s="297">
        <v>1430.3999999999992</v>
      </c>
      <c r="R95" s="297">
        <v>1635.600000000001</v>
      </c>
      <c r="S95" s="297"/>
      <c r="T95" s="297">
        <v>1591.9999999999991</v>
      </c>
      <c r="U95" s="297"/>
      <c r="V95" s="297">
        <v>1502.1000000000001</v>
      </c>
      <c r="W95" s="297"/>
      <c r="X95" s="297">
        <f>'Exhibit G State'!X95+'Exhibit G Federal'!X65</f>
        <v>1433.3000000000002</v>
      </c>
      <c r="Y95" s="297"/>
      <c r="Z95" s="297"/>
      <c r="AA95" s="297"/>
      <c r="AB95" s="274">
        <v>0</v>
      </c>
      <c r="AC95" s="274"/>
      <c r="AD95" s="534"/>
      <c r="AE95" s="274">
        <f t="shared" si="16"/>
        <v>16039.5</v>
      </c>
      <c r="AF95" s="274"/>
      <c r="AG95" s="534"/>
      <c r="AH95" s="297">
        <f>'Exhibit G State'!AF95+'Exhibit G Federal'!AF65</f>
        <v>12329.800000000001</v>
      </c>
      <c r="AI95" s="530"/>
      <c r="AJ95" s="274"/>
      <c r="AK95" s="274">
        <f t="shared" si="17"/>
        <v>3709.7</v>
      </c>
      <c r="AL95" s="11"/>
      <c r="AM95" s="276">
        <f t="shared" ref="AM95:AM99" si="18">ROUND(IF(AH95=0,0,AK95/ABS(AH95)),3)</f>
        <v>0.30099999999999999</v>
      </c>
      <c r="AN95" s="416"/>
      <c r="AO95" s="416"/>
      <c r="AP95" s="416"/>
      <c r="AQ95" s="416"/>
      <c r="AR95" s="416"/>
      <c r="AS95" s="416"/>
      <c r="AT95" s="416"/>
    </row>
    <row r="96" spans="1:46" ht="15" customHeight="1">
      <c r="A96" s="301"/>
      <c r="B96" s="395" t="s">
        <v>130</v>
      </c>
      <c r="C96" s="301"/>
      <c r="D96" s="297">
        <f>'Exhibit G State'!D96+'Exhibit G Federal'!D66</f>
        <v>77.300000000000011</v>
      </c>
      <c r="E96" s="297"/>
      <c r="F96" s="297">
        <f>'Exhibit G State'!F96+'Exhibit G Federal'!F66</f>
        <v>151.5</v>
      </c>
      <c r="G96" s="297"/>
      <c r="H96" s="297">
        <f>'Exhibit G State'!H96+'Exhibit G Federal'!H66</f>
        <v>170.3</v>
      </c>
      <c r="J96" s="297">
        <f>'Exhibit G State'!J96+'Exhibit G Federal'!J66</f>
        <v>150.29999999999998</v>
      </c>
      <c r="L96" s="297">
        <f>'Exhibit G State'!L96+'Exhibit G Federal'!L66</f>
        <v>354.59999999999991</v>
      </c>
      <c r="N96" s="297">
        <f>'Exhibit G State'!N96+'Exhibit G Federal'!N66</f>
        <v>259.60000000000008</v>
      </c>
      <c r="P96" s="297">
        <v>372.69999999999993</v>
      </c>
      <c r="R96" s="297">
        <v>396.40000000000009</v>
      </c>
      <c r="S96" s="297"/>
      <c r="T96" s="297">
        <v>1650.1999999999998</v>
      </c>
      <c r="U96" s="297"/>
      <c r="V96" s="297">
        <v>288.59999999999997</v>
      </c>
      <c r="W96" s="297"/>
      <c r="X96" s="297">
        <f>'Exhibit G State'!X96+'Exhibit G Federal'!X66</f>
        <v>273.40000000000003</v>
      </c>
      <c r="Y96" s="297"/>
      <c r="Z96" s="297"/>
      <c r="AA96" s="297"/>
      <c r="AB96" s="274">
        <v>0</v>
      </c>
      <c r="AC96" s="274"/>
      <c r="AD96" s="534"/>
      <c r="AE96" s="274">
        <f t="shared" si="16"/>
        <v>4144.8999999999996</v>
      </c>
      <c r="AF96" s="274"/>
      <c r="AG96" s="534"/>
      <c r="AH96" s="297">
        <f>'Exhibit G State'!AF96+'Exhibit G Federal'!AF66</f>
        <v>4617.1000000000004</v>
      </c>
      <c r="AI96" s="530"/>
      <c r="AJ96" s="274"/>
      <c r="AK96" s="274">
        <f t="shared" si="17"/>
        <v>-472.2</v>
      </c>
      <c r="AL96" s="11"/>
      <c r="AM96" s="954">
        <f t="shared" si="18"/>
        <v>-0.10199999999999999</v>
      </c>
      <c r="AN96" s="416"/>
      <c r="AO96" s="416"/>
      <c r="AP96" s="416"/>
      <c r="AQ96" s="416"/>
      <c r="AR96" s="416"/>
      <c r="AS96" s="416"/>
      <c r="AT96" s="416"/>
    </row>
    <row r="97" spans="1:46" ht="15" customHeight="1">
      <c r="A97" s="301"/>
      <c r="B97" s="395" t="s">
        <v>131</v>
      </c>
      <c r="C97" s="301"/>
      <c r="D97" s="297">
        <f>'Exhibit G State'!D97+'Exhibit G Federal'!D67</f>
        <v>610</v>
      </c>
      <c r="E97" s="297"/>
      <c r="F97" s="297">
        <f>'Exhibit G State'!F97+'Exhibit G Federal'!F67</f>
        <v>569.90000000000009</v>
      </c>
      <c r="G97" s="297"/>
      <c r="H97" s="297">
        <f>'Exhibit G State'!H97+'Exhibit G Federal'!H67</f>
        <v>944.49999999999977</v>
      </c>
      <c r="J97" s="297">
        <f>'Exhibit G State'!J97+'Exhibit G Federal'!J67</f>
        <v>741.80000000000018</v>
      </c>
      <c r="L97" s="297">
        <f>'Exhibit G State'!L97+'Exhibit G Federal'!L67</f>
        <v>326.9000000000002</v>
      </c>
      <c r="N97" s="297">
        <f>'Exhibit G State'!N97+'Exhibit G Federal'!N67</f>
        <v>332.99999999999989</v>
      </c>
      <c r="P97" s="297">
        <v>438.19999999999982</v>
      </c>
      <c r="R97" s="297">
        <v>423.49999999999972</v>
      </c>
      <c r="S97" s="297"/>
      <c r="T97" s="297">
        <v>283.70000000000056</v>
      </c>
      <c r="U97" s="297"/>
      <c r="V97" s="297">
        <v>264.69999999999982</v>
      </c>
      <c r="W97" s="297"/>
      <c r="X97" s="297">
        <f>'Exhibit G State'!X97+'Exhibit G Federal'!X67</f>
        <v>451.89999999999981</v>
      </c>
      <c r="Y97" s="297"/>
      <c r="Z97" s="297"/>
      <c r="AA97" s="297"/>
      <c r="AB97" s="274">
        <v>0</v>
      </c>
      <c r="AC97" s="274"/>
      <c r="AD97" s="534"/>
      <c r="AE97" s="274">
        <f t="shared" si="16"/>
        <v>5388.1</v>
      </c>
      <c r="AF97" s="274"/>
      <c r="AG97" s="534"/>
      <c r="AH97" s="297">
        <f>'Exhibit G State'!AF97+'Exhibit G Federal'!AF67</f>
        <v>5406.0999999999995</v>
      </c>
      <c r="AI97" s="530"/>
      <c r="AJ97" s="274"/>
      <c r="AK97" s="274">
        <f t="shared" si="17"/>
        <v>-18</v>
      </c>
      <c r="AL97" s="11"/>
      <c r="AM97" s="276">
        <f t="shared" si="18"/>
        <v>-3.0000000000000001E-3</v>
      </c>
      <c r="AN97" s="416"/>
      <c r="AO97" s="416"/>
      <c r="AP97" s="416"/>
      <c r="AQ97" s="416"/>
      <c r="AR97" s="416"/>
      <c r="AS97" s="416"/>
      <c r="AT97" s="416"/>
    </row>
    <row r="98" spans="1:46" ht="15" customHeight="1">
      <c r="A98" s="301"/>
      <c r="B98" s="395" t="s">
        <v>132</v>
      </c>
      <c r="C98" s="301"/>
      <c r="D98" s="297">
        <f>'Exhibit G State'!D98+'Exhibit G Federal'!D68</f>
        <v>0.4</v>
      </c>
      <c r="E98" s="297"/>
      <c r="F98" s="297">
        <f>'Exhibit G State'!F98+'Exhibit G Federal'!F68</f>
        <v>1.8000000000000003</v>
      </c>
      <c r="G98" s="297"/>
      <c r="H98" s="297">
        <f>'Exhibit G State'!H98+'Exhibit G Federal'!H68</f>
        <v>2.9</v>
      </c>
      <c r="J98" s="297">
        <f>'Exhibit G State'!J98+'Exhibit G Federal'!J68</f>
        <v>1.2999999999999994</v>
      </c>
      <c r="L98" s="297">
        <f>'Exhibit G State'!L98+'Exhibit G Federal'!L68</f>
        <v>4.4000000000000004</v>
      </c>
      <c r="N98" s="297">
        <f>'Exhibit G State'!N98+'Exhibit G Federal'!N68</f>
        <v>9.4999999999999982</v>
      </c>
      <c r="P98" s="297">
        <v>1.5000000000000027</v>
      </c>
      <c r="R98" s="297">
        <v>26.1</v>
      </c>
      <c r="S98" s="297"/>
      <c r="T98" s="297">
        <v>4.8999999999999968</v>
      </c>
      <c r="U98" s="297"/>
      <c r="V98" s="297">
        <v>8.4000000000000021</v>
      </c>
      <c r="W98" s="297"/>
      <c r="X98" s="297">
        <f>'Exhibit G State'!X98+'Exhibit G Federal'!X68</f>
        <v>9.5</v>
      </c>
      <c r="Y98" s="297"/>
      <c r="Z98" s="297"/>
      <c r="AA98" s="297"/>
      <c r="AB98" s="274">
        <v>0</v>
      </c>
      <c r="AC98" s="274"/>
      <c r="AD98" s="534"/>
      <c r="AE98" s="274">
        <f t="shared" si="16"/>
        <v>70.7</v>
      </c>
      <c r="AF98" s="274"/>
      <c r="AG98" s="534"/>
      <c r="AH98" s="297">
        <f>'Exhibit G State'!AF98+'Exhibit G Federal'!AF68</f>
        <v>232.7</v>
      </c>
      <c r="AI98" s="530"/>
      <c r="AJ98" s="274"/>
      <c r="AK98" s="274">
        <f t="shared" si="17"/>
        <v>-162</v>
      </c>
      <c r="AL98" s="11"/>
      <c r="AM98" s="553">
        <f>ROUND(IF(AH98=0,0,AK98/ABS(AH98)),3)</f>
        <v>-0.69599999999999995</v>
      </c>
      <c r="AN98" s="416"/>
      <c r="AO98" s="416"/>
      <c r="AP98" s="416"/>
      <c r="AQ98" s="416"/>
      <c r="AR98" s="416"/>
      <c r="AS98" s="1304"/>
      <c r="AT98" s="1304"/>
    </row>
    <row r="99" spans="1:46" ht="15" customHeight="1">
      <c r="A99" s="301"/>
      <c r="B99" s="395" t="s">
        <v>133</v>
      </c>
      <c r="C99" s="301"/>
      <c r="D99" s="297">
        <f>'Exhibit G State'!D99+'Exhibit G Federal'!D69</f>
        <v>81.099999999999994</v>
      </c>
      <c r="E99" s="297"/>
      <c r="F99" s="297">
        <f>'Exhibit G State'!F99+'Exhibit G Federal'!F69</f>
        <v>620.69999999999993</v>
      </c>
      <c r="G99" s="297"/>
      <c r="H99" s="297">
        <f>'Exhibit G State'!H99+'Exhibit G Federal'!H69</f>
        <v>365.9000000000002</v>
      </c>
      <c r="J99" s="297">
        <f>'Exhibit G State'!J99+'Exhibit G Federal'!J69</f>
        <v>398.49999999999989</v>
      </c>
      <c r="L99" s="297">
        <f>'Exhibit G State'!L99+'Exhibit G Federal'!L69</f>
        <v>565.50000000000023</v>
      </c>
      <c r="N99" s="297">
        <f>'Exhibit G State'!N99+'Exhibit G Federal'!N69</f>
        <v>373.1</v>
      </c>
      <c r="P99" s="297">
        <v>436.59999999999962</v>
      </c>
      <c r="R99" s="297">
        <v>714.59999999999968</v>
      </c>
      <c r="S99" s="297"/>
      <c r="T99" s="297">
        <v>1141.8999999999999</v>
      </c>
      <c r="U99" s="297"/>
      <c r="V99" s="297">
        <v>80.100000000000549</v>
      </c>
      <c r="W99" s="297"/>
      <c r="X99" s="297">
        <f>'Exhibit G State'!X99+'Exhibit G Federal'!X69</f>
        <v>139.80000000000018</v>
      </c>
      <c r="Y99" s="297"/>
      <c r="Z99" s="297"/>
      <c r="AA99" s="297"/>
      <c r="AB99" s="274">
        <v>0</v>
      </c>
      <c r="AC99" s="274"/>
      <c r="AD99" s="534"/>
      <c r="AE99" s="274">
        <f t="shared" si="16"/>
        <v>4917.8</v>
      </c>
      <c r="AF99" s="274"/>
      <c r="AG99" s="534"/>
      <c r="AH99" s="297">
        <f>'Exhibit G State'!AF99+'Exhibit G Federal'!AF69</f>
        <v>4712</v>
      </c>
      <c r="AI99" s="530"/>
      <c r="AJ99" s="274"/>
      <c r="AK99" s="274">
        <f t="shared" si="17"/>
        <v>205.8</v>
      </c>
      <c r="AL99" s="11"/>
      <c r="AM99" s="544">
        <f t="shared" si="18"/>
        <v>4.3999999999999997E-2</v>
      </c>
      <c r="AN99" s="416"/>
      <c r="AO99" s="416"/>
      <c r="AP99" s="416"/>
      <c r="AQ99" s="416"/>
      <c r="AR99" s="416"/>
      <c r="AS99" s="416"/>
      <c r="AT99" s="416"/>
    </row>
    <row r="100" spans="1:46" ht="15" customHeight="1">
      <c r="A100" s="301"/>
      <c r="B100" s="3" t="s">
        <v>516</v>
      </c>
      <c r="C100" s="301"/>
      <c r="D100" s="687">
        <f>ROUND(SUM(D90:D99),1)</f>
        <v>6436.7</v>
      </c>
      <c r="F100" s="687">
        <f>ROUND(SUM(F90:F99),1)</f>
        <v>8266.4</v>
      </c>
      <c r="H100" s="687">
        <f>ROUND(SUM(H90:H99),1)</f>
        <v>9563.2000000000007</v>
      </c>
      <c r="J100" s="687">
        <f>ROUND(SUM(J90:J99),1)</f>
        <v>8301</v>
      </c>
      <c r="L100" s="687">
        <f>ROUND(SUM(L90:L99),1)</f>
        <v>9722.2000000000007</v>
      </c>
      <c r="N100" s="687">
        <f>ROUND(SUM(N90:N99),1)</f>
        <v>11632.4</v>
      </c>
      <c r="P100" s="687">
        <f>ROUND(SUM(P90:P99),1)</f>
        <v>8827.5</v>
      </c>
      <c r="R100" s="687">
        <f>ROUND(SUM(R90:R99),1)</f>
        <v>8450.7000000000007</v>
      </c>
      <c r="T100" s="687">
        <f>ROUND(SUM(T90:T99),1)</f>
        <v>10262.1</v>
      </c>
      <c r="V100" s="687">
        <f>ROUND(SUM(V90:V99),1)</f>
        <v>8659.7999999999993</v>
      </c>
      <c r="X100" s="687">
        <f>ROUND(SUM(X90:X99),1)</f>
        <v>8562.9</v>
      </c>
      <c r="Z100" s="687">
        <f>ROUND(SUM(Z90:Z99),1)</f>
        <v>0</v>
      </c>
      <c r="AA100" s="13"/>
      <c r="AB100" s="687">
        <f>ROUND(SUM(AB90:AB99),1)</f>
        <v>0</v>
      </c>
      <c r="AC100" s="13"/>
      <c r="AD100" s="14"/>
      <c r="AE100" s="687">
        <f>ROUND(SUM(AE90:AE99),1)</f>
        <v>98684.9</v>
      </c>
      <c r="AF100" s="13"/>
      <c r="AG100" s="14"/>
      <c r="AH100" s="687">
        <f>ROUND(SUM(AH90:AH99),1)</f>
        <v>97171.9</v>
      </c>
      <c r="AI100" s="79"/>
      <c r="AJ100" s="13"/>
      <c r="AK100" s="687">
        <f>ROUND(SUM(AK90:AK99),1)</f>
        <v>1513</v>
      </c>
      <c r="AL100" s="40"/>
      <c r="AM100" s="378">
        <f>ROUND(SUM(+AK100/AH100),3)</f>
        <v>1.6E-2</v>
      </c>
      <c r="AN100" s="416"/>
      <c r="AO100" s="416"/>
      <c r="AP100" s="416"/>
      <c r="AQ100" s="416"/>
      <c r="AR100" s="416"/>
      <c r="AS100" s="416"/>
      <c r="AT100" s="416"/>
    </row>
    <row r="101" spans="1:46" ht="15" customHeight="1">
      <c r="A101" s="301"/>
      <c r="B101" s="301" t="s">
        <v>517</v>
      </c>
      <c r="C101" s="301"/>
      <c r="D101" s="274"/>
      <c r="F101" s="274"/>
      <c r="H101" s="274"/>
      <c r="J101" s="274"/>
      <c r="L101" s="274"/>
      <c r="N101" s="274"/>
      <c r="P101" s="274"/>
      <c r="R101" s="274"/>
      <c r="T101" s="274"/>
      <c r="V101" s="274"/>
      <c r="X101" s="274"/>
      <c r="Z101" s="274"/>
      <c r="AA101" s="274"/>
      <c r="AB101" s="274"/>
      <c r="AC101" s="274"/>
      <c r="AD101" s="534"/>
      <c r="AE101" s="274"/>
      <c r="AF101" s="274"/>
      <c r="AG101" s="534"/>
      <c r="AH101" s="274"/>
      <c r="AI101" s="530"/>
      <c r="AJ101" s="274"/>
      <c r="AK101" s="274"/>
      <c r="AL101" s="374"/>
      <c r="AM101" s="293"/>
      <c r="AN101" s="416"/>
      <c r="AO101" s="416"/>
      <c r="AP101" s="416"/>
      <c r="AQ101" s="416"/>
      <c r="AR101" s="416"/>
      <c r="AS101" s="416"/>
      <c r="AT101" s="416"/>
    </row>
    <row r="102" spans="1:46" ht="15" customHeight="1">
      <c r="A102" s="301"/>
      <c r="B102" s="301" t="s">
        <v>462</v>
      </c>
      <c r="C102" s="301"/>
      <c r="D102" s="297">
        <f>'Exhibit G State'!D102+'Exhibit G Federal'!D72</f>
        <v>532.29999999999995</v>
      </c>
      <c r="E102" s="297"/>
      <c r="F102" s="297">
        <f>'Exhibit G State'!F102+'Exhibit G Federal'!F72</f>
        <v>534.69999999999993</v>
      </c>
      <c r="G102" s="297"/>
      <c r="H102" s="297">
        <f>'Exhibit G State'!H102+'Exhibit G Federal'!H72</f>
        <v>491.50000000000011</v>
      </c>
      <c r="J102" s="297">
        <f>'Exhibit G State'!J102+'Exhibit G Federal'!J72</f>
        <v>808.69999999999982</v>
      </c>
      <c r="L102" s="297">
        <f>'Exhibit G State'!L102+'Exhibit G Federal'!L72</f>
        <v>529.29999999999995</v>
      </c>
      <c r="N102" s="297">
        <f>'Exhibit G State'!N102+'Exhibit G Federal'!N72</f>
        <v>498.99999999999972</v>
      </c>
      <c r="P102" s="297">
        <v>570.50000000000023</v>
      </c>
      <c r="R102" s="297">
        <v>545.89900000000011</v>
      </c>
      <c r="S102" s="297"/>
      <c r="T102" s="297">
        <v>783.00099999999952</v>
      </c>
      <c r="U102" s="297"/>
      <c r="V102" s="297">
        <v>548.79999999999995</v>
      </c>
      <c r="W102" s="297"/>
      <c r="X102" s="297">
        <f>'Exhibit G State'!X102+'Exhibit G Federal'!X72</f>
        <v>542.80000000000109</v>
      </c>
      <c r="Y102" s="297"/>
      <c r="Z102" s="297"/>
      <c r="AA102" s="297"/>
      <c r="AB102" s="274">
        <v>0</v>
      </c>
      <c r="AC102" s="274"/>
      <c r="AD102" s="534"/>
      <c r="AE102" s="274">
        <f>ROUND(SUM(D102:Z102),1)</f>
        <v>6386.5</v>
      </c>
      <c r="AF102" s="274"/>
      <c r="AG102" s="534"/>
      <c r="AH102" s="297">
        <f>'Exhibit G State'!AF102+'Exhibit G Federal'!AF72</f>
        <v>6024.7</v>
      </c>
      <c r="AI102" s="530"/>
      <c r="AJ102" s="274"/>
      <c r="AK102" s="274">
        <f>ROUND(SUM(+AE102-AH102),1)</f>
        <v>361.8</v>
      </c>
      <c r="AL102" s="11"/>
      <c r="AM102" s="276">
        <f>ROUND(IF(AH102=0,0,AK102/ABS(AH102)),3)</f>
        <v>0.06</v>
      </c>
      <c r="AN102" s="416"/>
      <c r="AO102" s="416"/>
      <c r="AP102" s="416"/>
      <c r="AQ102" s="416"/>
      <c r="AR102" s="416"/>
      <c r="AS102" s="416"/>
      <c r="AT102" s="416"/>
    </row>
    <row r="103" spans="1:46" ht="15" customHeight="1">
      <c r="A103" s="301"/>
      <c r="B103" s="301" t="s">
        <v>518</v>
      </c>
      <c r="C103" s="301"/>
      <c r="D103" s="297">
        <f>'Exhibit G State'!D103+'Exhibit G Federal'!D73</f>
        <v>322.7</v>
      </c>
      <c r="E103" s="297"/>
      <c r="F103" s="297">
        <f>'Exhibit G State'!F103+'Exhibit G Federal'!F73</f>
        <v>481.5</v>
      </c>
      <c r="G103" s="297"/>
      <c r="H103" s="297">
        <f>'Exhibit G State'!H103+'Exhibit G Federal'!H73</f>
        <v>399.1</v>
      </c>
      <c r="J103" s="297">
        <f>'Exhibit G State'!J103+'Exhibit G Federal'!J73</f>
        <v>438.49999999999983</v>
      </c>
      <c r="L103" s="297">
        <f>'Exhibit G State'!L103+'Exhibit G Federal'!L73</f>
        <v>472.10000000000019</v>
      </c>
      <c r="N103" s="297">
        <f>'Exhibit G State'!N103+'Exhibit G Federal'!N73</f>
        <v>503.19999999999976</v>
      </c>
      <c r="P103" s="297">
        <v>542.3000000000003</v>
      </c>
      <c r="R103" s="297">
        <v>866.39999999999975</v>
      </c>
      <c r="S103" s="297"/>
      <c r="T103" s="297">
        <v>436.89999999999986</v>
      </c>
      <c r="U103" s="297"/>
      <c r="V103" s="297">
        <v>569.10000000000014</v>
      </c>
      <c r="W103" s="297"/>
      <c r="X103" s="297">
        <f>'Exhibit G State'!X103+'Exhibit G Federal'!X73</f>
        <v>535.10000000000014</v>
      </c>
      <c r="Y103" s="297"/>
      <c r="Z103" s="297"/>
      <c r="AA103" s="297"/>
      <c r="AB103" s="274">
        <v>0</v>
      </c>
      <c r="AC103" s="274"/>
      <c r="AD103" s="534"/>
      <c r="AE103" s="274">
        <f>ROUND(SUM(D103:Z103),1)</f>
        <v>5566.9</v>
      </c>
      <c r="AF103" s="274"/>
      <c r="AG103" s="534"/>
      <c r="AH103" s="297">
        <f>'Exhibit G State'!AF103+'Exhibit G Federal'!AF73</f>
        <v>5540.5</v>
      </c>
      <c r="AI103" s="530"/>
      <c r="AJ103" s="274"/>
      <c r="AK103" s="274">
        <f>ROUND(SUM(+AE103-AH103),1)</f>
        <v>26.4</v>
      </c>
      <c r="AL103" s="11"/>
      <c r="AM103" s="276">
        <f>ROUND(IF(AH103=0,0,AK103/ABS(AH103)),3)</f>
        <v>5.0000000000000001E-3</v>
      </c>
      <c r="AN103" s="416"/>
      <c r="AO103" s="416"/>
      <c r="AP103" s="416"/>
      <c r="AQ103" s="416"/>
      <c r="AR103" s="416"/>
      <c r="AS103" s="416"/>
      <c r="AT103" s="416"/>
    </row>
    <row r="104" spans="1:46" ht="15" customHeight="1">
      <c r="A104" s="301"/>
      <c r="B104" s="301" t="s">
        <v>519</v>
      </c>
      <c r="C104" s="301"/>
      <c r="D104" s="297">
        <f>'Exhibit G State'!D104+'Exhibit G Federal'!D74</f>
        <v>14.899999999999999</v>
      </c>
      <c r="E104" s="297"/>
      <c r="F104" s="297">
        <f>'Exhibit G State'!F104+'Exhibit G Federal'!F74</f>
        <v>204.60000000000002</v>
      </c>
      <c r="G104" s="297"/>
      <c r="H104" s="297">
        <f>'Exhibit G State'!H104+'Exhibit G Federal'!H74</f>
        <v>104.80000000000001</v>
      </c>
      <c r="J104" s="297">
        <f>'Exhibit G State'!J104+'Exhibit G Federal'!J74</f>
        <v>138.09999999999997</v>
      </c>
      <c r="L104" s="297">
        <f>'Exhibit G State'!L104+'Exhibit G Federal'!L74</f>
        <v>102.10000000000005</v>
      </c>
      <c r="N104" s="297">
        <f>'Exhibit G State'!N104+'Exhibit G Federal'!N74</f>
        <v>125.09999999999994</v>
      </c>
      <c r="P104" s="297">
        <v>171.40000000000003</v>
      </c>
      <c r="R104" s="297">
        <v>125.39999999999998</v>
      </c>
      <c r="S104" s="297"/>
      <c r="T104" s="297">
        <v>184.5</v>
      </c>
      <c r="U104" s="297"/>
      <c r="V104" s="297">
        <v>181.7</v>
      </c>
      <c r="W104" s="297"/>
      <c r="X104" s="297">
        <f>'Exhibit G State'!X104+'Exhibit G Federal'!X74</f>
        <v>108.69999999999999</v>
      </c>
      <c r="Y104" s="297"/>
      <c r="Z104" s="297"/>
      <c r="AA104" s="297"/>
      <c r="AB104" s="274">
        <v>0</v>
      </c>
      <c r="AC104" s="274"/>
      <c r="AD104" s="534"/>
      <c r="AE104" s="274">
        <f>ROUND(SUM(D104:Z104),1)</f>
        <v>1461.3</v>
      </c>
      <c r="AF104" s="274"/>
      <c r="AG104" s="534"/>
      <c r="AH104" s="297">
        <f>'Exhibit G State'!AF104+'Exhibit G Federal'!AF74</f>
        <v>1355.8</v>
      </c>
      <c r="AI104" s="530"/>
      <c r="AJ104" s="274"/>
      <c r="AK104" s="274">
        <f>ROUND(SUM(+AE104-AH104),1)</f>
        <v>105.5</v>
      </c>
      <c r="AL104" s="11"/>
      <c r="AM104" s="276">
        <f>ROUND(IF(AH104=0,0,AK104/ABS(AH104)),3)</f>
        <v>7.8E-2</v>
      </c>
      <c r="AN104" s="416"/>
      <c r="AO104" s="416"/>
      <c r="AP104" s="416"/>
      <c r="AQ104" s="416"/>
      <c r="AR104" s="416"/>
      <c r="AS104" s="416"/>
      <c r="AT104" s="416"/>
    </row>
    <row r="105" spans="1:46" ht="15" customHeight="1">
      <c r="A105" s="301"/>
      <c r="B105" s="66" t="s">
        <v>1449</v>
      </c>
      <c r="C105" s="301"/>
      <c r="D105" s="297"/>
      <c r="E105" s="297"/>
      <c r="F105" s="297"/>
      <c r="G105" s="297"/>
      <c r="H105" s="297"/>
      <c r="J105" s="297"/>
      <c r="L105" s="297"/>
      <c r="N105" s="297"/>
      <c r="P105" s="297"/>
      <c r="R105" s="297"/>
      <c r="S105" s="297"/>
      <c r="T105" s="297"/>
      <c r="U105" s="297"/>
      <c r="V105" s="297"/>
      <c r="W105" s="297"/>
      <c r="X105" s="297"/>
      <c r="Y105" s="297"/>
      <c r="Z105" s="297"/>
      <c r="AA105" s="297"/>
      <c r="AB105" s="274"/>
      <c r="AC105" s="274"/>
      <c r="AD105" s="534"/>
      <c r="AE105" s="274"/>
      <c r="AF105" s="274"/>
      <c r="AG105" s="534"/>
      <c r="AH105" s="297"/>
      <c r="AI105" s="530"/>
      <c r="AJ105" s="274"/>
      <c r="AK105" s="274"/>
      <c r="AL105" s="11"/>
      <c r="AM105" s="276"/>
      <c r="AN105" s="416"/>
      <c r="AO105" s="416"/>
      <c r="AP105" s="416"/>
      <c r="AQ105" s="416"/>
      <c r="AR105" s="416"/>
      <c r="AS105" s="416"/>
      <c r="AT105" s="416"/>
    </row>
    <row r="106" spans="1:46" ht="15" customHeight="1">
      <c r="A106" s="301"/>
      <c r="B106" s="66" t="s">
        <v>1519</v>
      </c>
      <c r="C106" s="301"/>
      <c r="D106" s="297">
        <f>'Exhibit G Federal'!D76</f>
        <v>0</v>
      </c>
      <c r="E106" s="297"/>
      <c r="F106" s="297">
        <f>'Exhibit G Federal'!F76</f>
        <v>0</v>
      </c>
      <c r="G106" s="297"/>
      <c r="H106" s="297">
        <f>'Exhibit G Federal'!H76</f>
        <v>0</v>
      </c>
      <c r="J106" s="297">
        <f>'Exhibit G Federal'!J76</f>
        <v>0</v>
      </c>
      <c r="L106" s="297">
        <f>'Exhibit G Federal'!L76</f>
        <v>0</v>
      </c>
      <c r="N106" s="297">
        <f>'Exhibit G Federal'!N76</f>
        <v>0</v>
      </c>
      <c r="P106" s="297">
        <v>0</v>
      </c>
      <c r="R106" s="297">
        <v>0</v>
      </c>
      <c r="S106" s="297"/>
      <c r="T106" s="297">
        <v>0</v>
      </c>
      <c r="U106" s="297"/>
      <c r="V106" s="297">
        <v>0</v>
      </c>
      <c r="W106" s="297"/>
      <c r="X106" s="297">
        <f>'Exhibit G Federal'!X76</f>
        <v>0</v>
      </c>
      <c r="Y106" s="297"/>
      <c r="Z106" s="297"/>
      <c r="AA106" s="297"/>
      <c r="AB106" s="274">
        <v>0</v>
      </c>
      <c r="AC106" s="274"/>
      <c r="AD106" s="534"/>
      <c r="AE106" s="274">
        <f>ROUND(SUM(D106:Z106),1)</f>
        <v>0</v>
      </c>
      <c r="AF106" s="274"/>
      <c r="AG106" s="534"/>
      <c r="AH106" s="297">
        <f>'Exhibit G Federal'!AF76</f>
        <v>0</v>
      </c>
      <c r="AI106" s="530"/>
      <c r="AJ106" s="274"/>
      <c r="AK106" s="274">
        <f>ROUND(SUM(+AE106-AH106),1)</f>
        <v>0</v>
      </c>
      <c r="AL106" s="11"/>
      <c r="AM106" s="276">
        <f>ROUND(IF(AH106=0,0,AK106/ABS(AH106)),3)</f>
        <v>0</v>
      </c>
      <c r="AN106" s="416"/>
      <c r="AO106" s="416"/>
      <c r="AP106" s="416"/>
      <c r="AQ106" s="416"/>
      <c r="AR106" s="416"/>
      <c r="AS106" s="416"/>
      <c r="AT106" s="416"/>
    </row>
    <row r="107" spans="1:46" ht="15" customHeight="1">
      <c r="A107" s="301"/>
      <c r="B107" s="301" t="s">
        <v>521</v>
      </c>
      <c r="C107" s="301"/>
      <c r="D107" s="297">
        <f>'Exhibit G State'!D105+'Exhibit G Federal'!D77</f>
        <v>0</v>
      </c>
      <c r="E107" s="297"/>
      <c r="F107" s="297">
        <f>'Exhibit G State'!F105+'Exhibit G Federal'!F77</f>
        <v>0</v>
      </c>
      <c r="G107" s="297"/>
      <c r="H107" s="297">
        <f>'Exhibit G State'!H105+'Exhibit G Federal'!H77</f>
        <v>0</v>
      </c>
      <c r="J107" s="297">
        <f>'Exhibit G State'!J105+'Exhibit G Federal'!J77</f>
        <v>0</v>
      </c>
      <c r="L107" s="297">
        <f>'Exhibit G State'!L105+'Exhibit G Federal'!L77</f>
        <v>0</v>
      </c>
      <c r="N107" s="297">
        <f>'Exhibit G State'!N105+'Exhibit G Federal'!N77</f>
        <v>0</v>
      </c>
      <c r="P107" s="297">
        <v>0</v>
      </c>
      <c r="R107" s="297">
        <v>0</v>
      </c>
      <c r="S107" s="297"/>
      <c r="T107" s="297">
        <v>0</v>
      </c>
      <c r="U107" s="297"/>
      <c r="V107" s="297">
        <v>0</v>
      </c>
      <c r="W107" s="297"/>
      <c r="X107" s="297">
        <f>'Exhibit G State'!X105+'Exhibit G Federal'!X77</f>
        <v>0</v>
      </c>
      <c r="Y107" s="297"/>
      <c r="Z107" s="297"/>
      <c r="AA107" s="297"/>
      <c r="AB107" s="393">
        <v>0</v>
      </c>
      <c r="AC107" s="1616"/>
      <c r="AD107" s="534"/>
      <c r="AE107" s="274">
        <f>ROUND(SUM(D107:Z107),1)</f>
        <v>0</v>
      </c>
      <c r="AF107" s="274"/>
      <c r="AG107" s="534"/>
      <c r="AH107" s="297">
        <f>'Exhibit G State'!AF105+'Exhibit G Federal'!AF77</f>
        <v>0</v>
      </c>
      <c r="AI107" s="530"/>
      <c r="AJ107" s="274"/>
      <c r="AK107" s="274">
        <f>ROUND(SUM(+AE107-AH107),1)</f>
        <v>0</v>
      </c>
      <c r="AL107" s="11"/>
      <c r="AM107" s="276">
        <f>ROUND(IF(AH107=0,0,AK107/ABS(AH107)),3)</f>
        <v>0</v>
      </c>
      <c r="AN107" s="416"/>
      <c r="AO107" s="416"/>
      <c r="AP107" s="416"/>
      <c r="AQ107" s="416"/>
      <c r="AR107" s="416"/>
      <c r="AS107" s="416"/>
      <c r="AT107" s="416"/>
    </row>
    <row r="108" spans="1:46" ht="15" customHeight="1">
      <c r="A108" s="301"/>
      <c r="B108" s="301"/>
      <c r="C108" s="301"/>
      <c r="D108" s="629"/>
      <c r="F108" s="629"/>
      <c r="H108" s="629"/>
      <c r="J108" s="629"/>
      <c r="L108" s="629"/>
      <c r="N108" s="629"/>
      <c r="P108" s="629"/>
      <c r="R108" s="629"/>
      <c r="T108" s="629"/>
      <c r="V108" s="629"/>
      <c r="X108" s="629"/>
      <c r="Z108" s="629"/>
      <c r="AA108" s="274"/>
      <c r="AB108" s="274"/>
      <c r="AC108" s="1616"/>
      <c r="AD108" s="534"/>
      <c r="AE108" s="629"/>
      <c r="AF108" s="274"/>
      <c r="AG108" s="534"/>
      <c r="AH108" s="629"/>
      <c r="AI108" s="530"/>
      <c r="AJ108" s="274"/>
      <c r="AK108" s="1064"/>
      <c r="AL108" s="374"/>
      <c r="AM108" s="1065"/>
      <c r="AN108" s="416"/>
      <c r="AO108" s="416"/>
      <c r="AP108" s="416"/>
      <c r="AQ108" s="416"/>
      <c r="AR108" s="416"/>
      <c r="AS108" s="416"/>
      <c r="AT108" s="416"/>
    </row>
    <row r="109" spans="1:46" ht="15" customHeight="1">
      <c r="A109" s="301"/>
      <c r="B109" s="3" t="s">
        <v>465</v>
      </c>
      <c r="C109" s="301"/>
      <c r="D109" s="13">
        <f>ROUND(SUM(D100:D107),1)</f>
        <v>7306.6</v>
      </c>
      <c r="F109" s="13">
        <f>ROUND(SUM(F100:F107),1)</f>
        <v>9487.2000000000007</v>
      </c>
      <c r="H109" s="13">
        <f>ROUND(SUM(H100:H107),1)</f>
        <v>10558.6</v>
      </c>
      <c r="J109" s="13">
        <f>ROUND(SUM(J100:J107),1)</f>
        <v>9686.2999999999993</v>
      </c>
      <c r="L109" s="13">
        <f>ROUND(SUM(L100:L107),1)</f>
        <v>10825.7</v>
      </c>
      <c r="N109" s="13">
        <f>ROUND(SUM(N100:N107),1)</f>
        <v>12759.7</v>
      </c>
      <c r="P109" s="13">
        <f>ROUND(SUM(P100:P107),1)</f>
        <v>10111.700000000001</v>
      </c>
      <c r="R109" s="13">
        <f>ROUND(SUM(R100:R107),1)</f>
        <v>9988.4</v>
      </c>
      <c r="T109" s="13">
        <f>ROUND(SUM(T100:T107),1)</f>
        <v>11666.5</v>
      </c>
      <c r="V109" s="13">
        <f>ROUND(SUM(V100:V107),1)</f>
        <v>9959.4</v>
      </c>
      <c r="X109" s="13">
        <f>ROUND(SUM(X100:X107),1)</f>
        <v>9749.5</v>
      </c>
      <c r="Z109" s="13">
        <f>ROUND(SUM(Z100:Z107),1)</f>
        <v>0</v>
      </c>
      <c r="AA109" s="13"/>
      <c r="AB109" s="367">
        <v>0</v>
      </c>
      <c r="AC109" s="1617"/>
      <c r="AD109" s="14"/>
      <c r="AE109" s="13">
        <f>ROUND(SUM(AE100:AE107),1)</f>
        <v>112099.6</v>
      </c>
      <c r="AF109" s="13"/>
      <c r="AG109" s="14"/>
      <c r="AH109" s="13">
        <f>ROUND(SUM(AH100:AH107),1)</f>
        <v>110092.9</v>
      </c>
      <c r="AI109" s="79"/>
      <c r="AJ109" s="13"/>
      <c r="AK109" s="367">
        <f>ROUND(SUM(AK100:AK107),1)</f>
        <v>2006.7</v>
      </c>
      <c r="AL109" s="61"/>
      <c r="AM109" s="378">
        <f>ROUND(SUM(+AK109/AH109),3)</f>
        <v>1.7999999999999999E-2</v>
      </c>
      <c r="AN109" s="416"/>
      <c r="AO109" s="416"/>
      <c r="AP109" s="416"/>
      <c r="AQ109" s="416"/>
      <c r="AR109" s="416"/>
      <c r="AS109" s="416"/>
      <c r="AT109" s="416"/>
    </row>
    <row r="110" spans="1:46" ht="15" customHeight="1">
      <c r="A110" s="301"/>
      <c r="B110" s="301"/>
      <c r="C110" s="301"/>
      <c r="D110" s="629"/>
      <c r="F110" s="629"/>
      <c r="H110" s="629"/>
      <c r="J110" s="629"/>
      <c r="L110" s="629"/>
      <c r="N110" s="629"/>
      <c r="P110" s="629"/>
      <c r="R110" s="629"/>
      <c r="T110" s="629"/>
      <c r="V110" s="629"/>
      <c r="X110" s="629"/>
      <c r="Z110" s="629"/>
      <c r="AA110" s="274"/>
      <c r="AB110" s="274"/>
      <c r="AC110" s="1616"/>
      <c r="AD110" s="534"/>
      <c r="AE110" s="629"/>
      <c r="AF110" s="274"/>
      <c r="AG110" s="534"/>
      <c r="AH110" s="629"/>
      <c r="AI110" s="530"/>
      <c r="AJ110" s="274"/>
      <c r="AK110" s="274"/>
      <c r="AL110" s="374"/>
      <c r="AM110" s="293"/>
      <c r="AN110" s="416"/>
      <c r="AO110" s="416"/>
      <c r="AP110" s="416"/>
      <c r="AQ110" s="416"/>
      <c r="AR110" s="416"/>
      <c r="AS110" s="416"/>
      <c r="AT110" s="416"/>
    </row>
    <row r="111" spans="1:46" ht="15" customHeight="1">
      <c r="A111" s="301"/>
      <c r="B111" s="3" t="s">
        <v>466</v>
      </c>
      <c r="C111" s="301"/>
      <c r="D111" s="274"/>
      <c r="F111" s="274"/>
      <c r="H111" s="274"/>
      <c r="J111" s="274"/>
      <c r="L111" s="274"/>
      <c r="N111" s="274"/>
      <c r="P111" s="274"/>
      <c r="R111" s="274"/>
      <c r="T111" s="274"/>
      <c r="V111" s="274"/>
      <c r="X111" s="274"/>
      <c r="Z111" s="274"/>
      <c r="AA111" s="274"/>
      <c r="AB111" s="274"/>
      <c r="AC111" s="1616"/>
      <c r="AD111" s="534"/>
      <c r="AE111" s="274" t="s">
        <v>522</v>
      </c>
      <c r="AF111" s="903"/>
      <c r="AG111" s="904"/>
      <c r="AH111" s="274"/>
      <c r="AI111" s="909"/>
      <c r="AJ111" s="12"/>
      <c r="AK111" s="274"/>
      <c r="AL111" s="374"/>
      <c r="AM111" s="293"/>
      <c r="AN111" s="416"/>
      <c r="AO111" s="416"/>
      <c r="AP111" s="416"/>
      <c r="AQ111" s="416"/>
      <c r="AR111" s="416"/>
      <c r="AS111" s="416"/>
      <c r="AT111" s="416"/>
    </row>
    <row r="112" spans="1:46" ht="15" customHeight="1">
      <c r="A112" s="301"/>
      <c r="B112" s="3" t="s">
        <v>144</v>
      </c>
      <c r="C112" s="301"/>
      <c r="D112" s="13">
        <f>ROUND(SUM(D86-D109),1)</f>
        <v>3128.9</v>
      </c>
      <c r="F112" s="13">
        <f>ROUND(SUM(F86-F109),1)</f>
        <v>-33</v>
      </c>
      <c r="G112" s="13"/>
      <c r="H112" s="13">
        <f>ROUND(SUM(H86-H109),1)</f>
        <v>-392.6</v>
      </c>
      <c r="J112" s="13">
        <f>ROUND(SUM(J86-J109),1)</f>
        <v>-260.60000000000002</v>
      </c>
      <c r="L112" s="13">
        <f>ROUND(SUM(L86-L109),1)</f>
        <v>1132.3</v>
      </c>
      <c r="N112" s="13">
        <f>ROUND(SUM(N86-N109),1)</f>
        <v>-2406.3000000000002</v>
      </c>
      <c r="P112" s="13">
        <f>ROUND(SUM(P86-P109),1)</f>
        <v>-340.4</v>
      </c>
      <c r="R112" s="13">
        <f>ROUND(SUM(R86-R109),1)</f>
        <v>-16.899999999999999</v>
      </c>
      <c r="T112" s="13">
        <f>ROUND(SUM(T86-T109),1)</f>
        <v>-4136.8999999999996</v>
      </c>
      <c r="V112" s="13">
        <f>ROUND(SUM(V86-V109),1)</f>
        <v>349.1</v>
      </c>
      <c r="X112" s="13">
        <f>ROUND(SUM(X86-X109),1)</f>
        <v>2363.9</v>
      </c>
      <c r="Z112" s="13">
        <f>ROUND(SUM(Z86-Z109),1)</f>
        <v>0</v>
      </c>
      <c r="AA112" s="13"/>
      <c r="AB112" s="367">
        <v>0</v>
      </c>
      <c r="AC112" s="1617"/>
      <c r="AD112" s="14"/>
      <c r="AE112" s="13">
        <f>ROUND(SUM(AE86-AE109),1)</f>
        <v>-612.5</v>
      </c>
      <c r="AF112" s="13"/>
      <c r="AG112" s="14"/>
      <c r="AH112" s="13">
        <f>ROUND(SUM(AH86-AH109),1)</f>
        <v>1442.6</v>
      </c>
      <c r="AI112" s="79"/>
      <c r="AJ112" s="13"/>
      <c r="AK112" s="367">
        <f>ROUND(SUM(AK86-AK109),1)</f>
        <v>-2055.1</v>
      </c>
      <c r="AL112" s="61"/>
      <c r="AM112" s="625">
        <f>ROUND(SUM(+AK112/ABS(AH112)),3)</f>
        <v>-1.425</v>
      </c>
      <c r="AN112" s="416"/>
      <c r="AO112" s="416"/>
      <c r="AP112" s="416"/>
      <c r="AQ112" s="416"/>
      <c r="AR112" s="416"/>
      <c r="AS112" s="416"/>
      <c r="AT112" s="416"/>
    </row>
    <row r="113" spans="1:50" ht="15" customHeight="1">
      <c r="A113" s="301"/>
      <c r="B113" s="301"/>
      <c r="C113" s="301"/>
      <c r="D113" s="629"/>
      <c r="F113" s="629"/>
      <c r="H113" s="629"/>
      <c r="J113" s="629"/>
      <c r="L113" s="629"/>
      <c r="N113" s="629"/>
      <c r="P113" s="629"/>
      <c r="R113" s="629"/>
      <c r="T113" s="629"/>
      <c r="V113" s="629"/>
      <c r="X113" s="629"/>
      <c r="Z113" s="629"/>
      <c r="AA113" s="274"/>
      <c r="AB113" s="274"/>
      <c r="AC113" s="1616"/>
      <c r="AD113" s="534"/>
      <c r="AE113" s="629"/>
      <c r="AF113" s="274"/>
      <c r="AG113" s="534"/>
      <c r="AH113" s="629"/>
      <c r="AI113" s="530"/>
      <c r="AJ113" s="274"/>
      <c r="AK113" s="274"/>
      <c r="AL113" s="374"/>
      <c r="AM113" s="293"/>
      <c r="AN113" s="416"/>
      <c r="AO113" s="416"/>
      <c r="AP113" s="416"/>
      <c r="AQ113" s="416"/>
      <c r="AR113" s="416"/>
      <c r="AS113" s="416"/>
      <c r="AT113" s="416"/>
      <c r="AU113" s="374"/>
      <c r="AV113" s="374"/>
      <c r="AW113" s="374"/>
      <c r="AX113" s="374"/>
    </row>
    <row r="114" spans="1:50" ht="15" customHeight="1">
      <c r="A114" s="301"/>
      <c r="B114" s="3" t="s">
        <v>145</v>
      </c>
      <c r="C114" s="301"/>
      <c r="D114" s="274"/>
      <c r="F114" s="274"/>
      <c r="H114" s="274"/>
      <c r="J114" s="274"/>
      <c r="L114" s="274"/>
      <c r="N114" s="274"/>
      <c r="P114" s="274"/>
      <c r="R114" s="274"/>
      <c r="T114" s="274"/>
      <c r="V114" s="274"/>
      <c r="X114" s="274"/>
      <c r="Z114" s="274"/>
      <c r="AA114" s="274"/>
      <c r="AB114" s="274"/>
      <c r="AC114" s="1616"/>
      <c r="AD114" s="534"/>
      <c r="AE114" s="274"/>
      <c r="AF114" s="274"/>
      <c r="AG114" s="534"/>
      <c r="AH114" s="274"/>
      <c r="AI114" s="530"/>
      <c r="AJ114" s="274"/>
      <c r="AK114" s="274"/>
      <c r="AL114" s="374"/>
      <c r="AM114" s="293"/>
      <c r="AN114" s="416"/>
      <c r="AO114" s="416"/>
      <c r="AP114" s="416"/>
      <c r="AQ114" s="416"/>
      <c r="AR114" s="416"/>
      <c r="AS114" s="416"/>
      <c r="AT114" s="416"/>
      <c r="AU114" s="374"/>
      <c r="AV114" s="374"/>
      <c r="AW114" s="374"/>
      <c r="AX114" s="374"/>
    </row>
    <row r="115" spans="1:50" s="1147" customFormat="1" ht="15" customHeight="1">
      <c r="A115" s="382"/>
      <c r="B115" s="1233" t="s">
        <v>523</v>
      </c>
      <c r="C115" s="1233"/>
      <c r="D115" s="1241">
        <f>+'Exhibit G State'!D113+'Exhibit G Federal'!D85</f>
        <v>389.2</v>
      </c>
      <c r="E115" s="1241"/>
      <c r="F115" s="1241">
        <f>+'Exhibit G State'!F113+'Exhibit G Federal'!F85</f>
        <v>306.50000000000006</v>
      </c>
      <c r="G115" s="1241"/>
      <c r="H115" s="1241">
        <f>+'Exhibit G State'!H113+'Exhibit G Federal'!H85</f>
        <v>1142.8</v>
      </c>
      <c r="I115" s="1150"/>
      <c r="J115" s="1241">
        <f>+'Exhibit G State'!J113+'Exhibit G Federal'!J85</f>
        <v>282.09999999999991</v>
      </c>
      <c r="K115" s="1149"/>
      <c r="L115" s="1241">
        <f>+'Exhibit G State'!L113+'Exhibit G Federal'!L85</f>
        <v>353.10000000000014</v>
      </c>
      <c r="M115" s="1149"/>
      <c r="N115" s="1241">
        <f>+'Exhibit G State'!N113+'Exhibit G Federal'!N85</f>
        <v>86.300000000000182</v>
      </c>
      <c r="O115" s="1149"/>
      <c r="P115" s="1241">
        <v>136.69999999999982</v>
      </c>
      <c r="Q115" s="1149"/>
      <c r="R115" s="297">
        <v>383.70000000000027</v>
      </c>
      <c r="S115" s="1150"/>
      <c r="T115" s="297">
        <v>148</v>
      </c>
      <c r="U115" s="1151"/>
      <c r="V115" s="297">
        <v>133.09999999999991</v>
      </c>
      <c r="W115" s="1150"/>
      <c r="X115" s="297">
        <f>+'Exhibit G State'!X113+'Exhibit G Federal'!X85</f>
        <v>257.40000000000009</v>
      </c>
      <c r="Y115" s="1150"/>
      <c r="Z115" s="297"/>
      <c r="AA115" s="1152"/>
      <c r="AB115" s="1224">
        <v>-577.79999999999995</v>
      </c>
      <c r="AC115" s="1881"/>
      <c r="AD115" s="1153"/>
      <c r="AE115" s="1225">
        <f>ROUND(SUM(D115:AB115),1)</f>
        <v>3041.1</v>
      </c>
      <c r="AF115" s="624"/>
      <c r="AG115" s="1153"/>
      <c r="AH115" s="1227">
        <f>'Exhibit G State'!AF113+'Exhibit G Federal'!AF85-466.4</f>
        <v>2467</v>
      </c>
      <c r="AI115" s="1155"/>
      <c r="AJ115" s="624"/>
      <c r="AK115" s="903">
        <f>ROUND(SUM(+AE115-AH115),1)</f>
        <v>574.1</v>
      </c>
      <c r="AL115" s="1156"/>
      <c r="AM115" s="276">
        <f>ROUND(IF(AH115=0,0,AK115/ABS(AH115)),3)</f>
        <v>0.23300000000000001</v>
      </c>
      <c r="AN115" s="1567"/>
      <c r="AO115" s="416"/>
      <c r="AP115" s="416"/>
      <c r="AQ115" s="416"/>
      <c r="AR115" s="416"/>
      <c r="AS115" s="416"/>
      <c r="AT115" s="416"/>
    </row>
    <row r="116" spans="1:50" ht="15" customHeight="1">
      <c r="A116" s="301"/>
      <c r="B116" s="301" t="s">
        <v>524</v>
      </c>
      <c r="C116" s="301"/>
      <c r="D116" s="1066">
        <f>+'Exhibit G State'!D114+'Exhibit G Federal'!D86</f>
        <v>-280.10000000000002</v>
      </c>
      <c r="E116" s="1066"/>
      <c r="F116" s="1066">
        <f>+'Exhibit G State'!F114+'Exhibit G Federal'!F86</f>
        <v>-172.10000000000002</v>
      </c>
      <c r="G116" s="1066"/>
      <c r="H116" s="1066">
        <f>+'Exhibit G State'!H114+'Exhibit G Federal'!H86</f>
        <v>-474.3</v>
      </c>
      <c r="J116" s="1066">
        <f>+'Exhibit G State'!J114+'Exhibit G Federal'!J86</f>
        <v>-111.40000000000003</v>
      </c>
      <c r="L116" s="1066">
        <f>+'Exhibit G State'!L114+'Exhibit G Federal'!L86</f>
        <v>-213.29999999999993</v>
      </c>
      <c r="N116" s="1066">
        <f>+'Exhibit G State'!N114+'Exhibit G Federal'!N86</f>
        <v>-69.000000000000085</v>
      </c>
      <c r="P116" s="1066">
        <v>-254.09999999999991</v>
      </c>
      <c r="R116" s="297">
        <v>-108.90000000000013</v>
      </c>
      <c r="S116" s="1066"/>
      <c r="T116" s="297">
        <v>-213.19999999999982</v>
      </c>
      <c r="U116" s="1067"/>
      <c r="V116" s="297">
        <v>-1012.8999999999999</v>
      </c>
      <c r="W116" s="1066"/>
      <c r="X116" s="297">
        <f>+'Exhibit G State'!X114+'Exhibit G Federal'!X86</f>
        <v>-727.2</v>
      </c>
      <c r="Y116" s="1066"/>
      <c r="Z116" s="297"/>
      <c r="AA116" s="298"/>
      <c r="AB116" s="1012">
        <v>577.79999999999995</v>
      </c>
      <c r="AC116" s="1882"/>
      <c r="AD116" s="534"/>
      <c r="AE116" s="274">
        <f>ROUND(SUM(D116:AB116),1)</f>
        <v>-3058.7</v>
      </c>
      <c r="AF116" s="274"/>
      <c r="AG116" s="534"/>
      <c r="AH116" s="297">
        <f>'Exhibit G State'!AF114+'Exhibit G Federal'!AF86+466.4</f>
        <v>-1867.9</v>
      </c>
      <c r="AI116" s="530"/>
      <c r="AJ116" s="274"/>
      <c r="AK116" s="274">
        <f>ROUND(SUM(+AE116-AH116)*-1,1)</f>
        <v>1190.8</v>
      </c>
      <c r="AL116" s="11"/>
      <c r="AM116" s="276">
        <f>ROUND(IF(AH116=0,0,AK116/ABS(AH116)),3)</f>
        <v>0.63800000000000001</v>
      </c>
      <c r="AN116" s="1567"/>
      <c r="AO116" s="416"/>
      <c r="AP116" s="416"/>
      <c r="AQ116" s="416"/>
      <c r="AR116" s="416"/>
      <c r="AS116" s="416"/>
      <c r="AT116" s="416"/>
      <c r="AU116" s="374"/>
      <c r="AV116" s="374"/>
      <c r="AW116" s="374"/>
      <c r="AX116" s="374"/>
    </row>
    <row r="117" spans="1:50" ht="15" customHeight="1">
      <c r="A117" s="301"/>
      <c r="B117" s="301"/>
      <c r="C117" s="301"/>
      <c r="D117" s="629"/>
      <c r="F117" s="629"/>
      <c r="H117" s="629"/>
      <c r="J117" s="629"/>
      <c r="L117" s="629"/>
      <c r="N117" s="629"/>
      <c r="P117" s="629"/>
      <c r="R117" s="629"/>
      <c r="T117" s="629"/>
      <c r="V117" s="629"/>
      <c r="X117" s="629"/>
      <c r="Z117" s="629"/>
      <c r="AA117" s="274"/>
      <c r="AB117" s="274"/>
      <c r="AC117" s="1616"/>
      <c r="AD117" s="534"/>
      <c r="AE117" s="629"/>
      <c r="AF117" s="274"/>
      <c r="AG117" s="534"/>
      <c r="AH117" s="629"/>
      <c r="AI117" s="530"/>
      <c r="AJ117" s="274"/>
      <c r="AK117" s="1064"/>
      <c r="AL117" s="374"/>
      <c r="AM117" s="1065"/>
      <c r="AN117" s="416"/>
      <c r="AO117" s="416"/>
      <c r="AP117" s="416"/>
      <c r="AQ117" s="416"/>
      <c r="AR117" s="416"/>
      <c r="AS117" s="416"/>
      <c r="AT117" s="416"/>
      <c r="AU117" s="374"/>
      <c r="AV117" s="374"/>
      <c r="AW117" s="374"/>
      <c r="AX117" s="374"/>
    </row>
    <row r="118" spans="1:50" ht="15" customHeight="1">
      <c r="A118" s="301"/>
      <c r="B118" s="3" t="s">
        <v>525</v>
      </c>
      <c r="C118" s="301"/>
      <c r="D118" s="13">
        <f>ROUND(SUM(D115:D116),1)</f>
        <v>109.1</v>
      </c>
      <c r="F118" s="13">
        <f>ROUND(SUM(F115:F116),1)</f>
        <v>134.4</v>
      </c>
      <c r="H118" s="13">
        <f>ROUND(SUM(H115:H116),1)</f>
        <v>668.5</v>
      </c>
      <c r="J118" s="13">
        <f>ROUND(SUM(J115:J116),1)</f>
        <v>170.7</v>
      </c>
      <c r="L118" s="13">
        <f>ROUND(SUM(L115:L116),1)</f>
        <v>139.80000000000001</v>
      </c>
      <c r="N118" s="13">
        <f>ROUND(SUM(N115:N116),1)</f>
        <v>17.3</v>
      </c>
      <c r="P118" s="13">
        <f>ROUND(SUM(P115:P116),1)</f>
        <v>-117.4</v>
      </c>
      <c r="R118" s="13">
        <f>ROUND(SUM(R115:R116),1)</f>
        <v>274.8</v>
      </c>
      <c r="T118" s="13">
        <f>ROUND(SUM(T115:T116),1)</f>
        <v>-65.2</v>
      </c>
      <c r="V118" s="13">
        <f>ROUND(SUM(V115:V116),1)</f>
        <v>-879.8</v>
      </c>
      <c r="X118" s="13">
        <f>ROUND(SUM(X115:X116),1)</f>
        <v>-469.8</v>
      </c>
      <c r="Z118" s="13">
        <f>ROUND(SUM(Z115:Z116),1)</f>
        <v>0</v>
      </c>
      <c r="AA118" s="13"/>
      <c r="AB118" s="367">
        <f>ROUND(SUM(AB115:AB116),1)</f>
        <v>0</v>
      </c>
      <c r="AC118" s="1617"/>
      <c r="AD118" s="14"/>
      <c r="AE118" s="13">
        <f>ROUND(SUM(AE115:AE116),1)</f>
        <v>-17.600000000000001</v>
      </c>
      <c r="AF118" s="13"/>
      <c r="AG118" s="14"/>
      <c r="AH118" s="13">
        <f>ROUND(SUM(AH115:AH116),1)</f>
        <v>599.1</v>
      </c>
      <c r="AI118" s="79"/>
      <c r="AJ118" s="13"/>
      <c r="AK118" s="367">
        <f>ROUND(SUM(AE118-AH118),1)</f>
        <v>-616.70000000000005</v>
      </c>
      <c r="AL118" s="40"/>
      <c r="AM118" s="378">
        <f>ROUND(SUM(+AK118/AH118),3)</f>
        <v>-1.0289999999999999</v>
      </c>
      <c r="AN118" s="416"/>
      <c r="AO118" s="416"/>
      <c r="AP118" s="416"/>
      <c r="AQ118" s="416"/>
      <c r="AR118" s="416"/>
      <c r="AS118" s="416"/>
      <c r="AT118" s="416"/>
      <c r="AU118" s="374"/>
      <c r="AV118" s="374"/>
      <c r="AW118" s="374"/>
      <c r="AX118" s="374"/>
    </row>
    <row r="119" spans="1:50" ht="15" customHeight="1">
      <c r="A119" s="301"/>
      <c r="B119" s="301"/>
      <c r="C119" s="301"/>
      <c r="D119" s="629"/>
      <c r="F119" s="629"/>
      <c r="H119" s="629"/>
      <c r="J119" s="629"/>
      <c r="L119" s="629"/>
      <c r="N119" s="629"/>
      <c r="P119" s="629"/>
      <c r="R119" s="629"/>
      <c r="T119" s="629"/>
      <c r="V119" s="629"/>
      <c r="X119" s="629"/>
      <c r="Z119" s="629"/>
      <c r="AA119" s="274"/>
      <c r="AB119" s="274"/>
      <c r="AC119" s="1616"/>
      <c r="AD119" s="534"/>
      <c r="AE119" s="629"/>
      <c r="AF119" s="274"/>
      <c r="AG119" s="534"/>
      <c r="AH119" s="629"/>
      <c r="AI119" s="530"/>
      <c r="AJ119" s="274"/>
      <c r="AK119" s="274"/>
      <c r="AL119" s="374"/>
      <c r="AM119" s="293"/>
      <c r="AN119" s="416"/>
      <c r="AO119" s="416"/>
      <c r="AP119" s="416"/>
      <c r="AQ119" s="416"/>
      <c r="AR119" s="416"/>
      <c r="AS119" s="416"/>
      <c r="AT119" s="416"/>
      <c r="AU119" s="374"/>
      <c r="AV119" s="374"/>
      <c r="AW119" s="374"/>
      <c r="AX119" s="374"/>
    </row>
    <row r="120" spans="1:50" ht="15" customHeight="1">
      <c r="A120" s="301"/>
      <c r="B120" s="3" t="s">
        <v>477</v>
      </c>
      <c r="C120" s="301"/>
      <c r="D120" s="274"/>
      <c r="F120" s="274"/>
      <c r="H120" s="274"/>
      <c r="J120" s="274"/>
      <c r="L120" s="274"/>
      <c r="N120" s="274"/>
      <c r="P120" s="274"/>
      <c r="R120" s="274"/>
      <c r="T120" s="274"/>
      <c r="V120" s="274"/>
      <c r="X120" s="274"/>
      <c r="Z120" s="274"/>
      <c r="AA120" s="274"/>
      <c r="AB120" s="274"/>
      <c r="AC120" s="1616"/>
      <c r="AD120" s="534"/>
      <c r="AE120" s="274"/>
      <c r="AF120" s="274"/>
      <c r="AG120" s="534"/>
      <c r="AH120" s="274"/>
      <c r="AI120" s="530"/>
      <c r="AJ120" s="274"/>
      <c r="AK120" s="274"/>
      <c r="AL120" s="374"/>
      <c r="AM120" s="293"/>
      <c r="AN120" s="416"/>
      <c r="AO120" s="416"/>
      <c r="AP120" s="416"/>
      <c r="AQ120" s="416"/>
      <c r="AR120" s="416"/>
      <c r="AS120" s="416"/>
      <c r="AT120" s="416"/>
      <c r="AU120" s="374"/>
      <c r="AV120" s="374"/>
      <c r="AW120" s="374"/>
      <c r="AX120" s="374"/>
    </row>
    <row r="121" spans="1:50" ht="15" customHeight="1">
      <c r="A121" s="301"/>
      <c r="B121" s="3" t="s">
        <v>1476</v>
      </c>
      <c r="C121" s="301"/>
      <c r="D121" s="274"/>
      <c r="F121" s="274"/>
      <c r="H121" s="274"/>
      <c r="J121" s="274"/>
      <c r="L121" s="274"/>
      <c r="N121" s="274"/>
      <c r="P121" s="274"/>
      <c r="R121" s="274"/>
      <c r="T121" s="274"/>
      <c r="V121" s="274"/>
      <c r="X121" s="274"/>
      <c r="Z121" s="274"/>
      <c r="AA121" s="274"/>
      <c r="AB121" s="274"/>
      <c r="AC121" s="1616"/>
      <c r="AD121" s="534"/>
      <c r="AE121" s="274"/>
      <c r="AF121" s="274"/>
      <c r="AG121" s="534"/>
      <c r="AH121" s="274"/>
      <c r="AI121" s="530"/>
      <c r="AJ121" s="274"/>
      <c r="AK121" s="274"/>
      <c r="AL121" s="374"/>
      <c r="AM121" s="293"/>
      <c r="AN121" s="416"/>
      <c r="AO121" s="416"/>
      <c r="AP121" s="416"/>
      <c r="AQ121" s="416"/>
      <c r="AR121" s="416"/>
      <c r="AS121" s="416"/>
      <c r="AT121" s="416"/>
      <c r="AU121" s="374"/>
      <c r="AV121" s="374"/>
      <c r="AW121" s="374"/>
      <c r="AX121" s="374"/>
    </row>
    <row r="122" spans="1:50" ht="15" customHeight="1">
      <c r="A122" s="301"/>
      <c r="B122" s="3" t="s">
        <v>526</v>
      </c>
      <c r="C122" s="301"/>
      <c r="D122" s="13">
        <f>ROUND(SUM(D112+D118),1)</f>
        <v>3238</v>
      </c>
      <c r="F122" s="13">
        <f>ROUND(SUM(F112+F118),1)</f>
        <v>101.4</v>
      </c>
      <c r="H122" s="13">
        <f>ROUND(SUM(H112+H118),1)</f>
        <v>275.89999999999998</v>
      </c>
      <c r="J122" s="13">
        <f>ROUND(SUM(J112+J118),1)</f>
        <v>-89.9</v>
      </c>
      <c r="L122" s="13">
        <f>ROUND(SUM(L112+L118),1)</f>
        <v>1272.0999999999999</v>
      </c>
      <c r="N122" s="13">
        <f>ROUND(SUM(N112+N118),1)</f>
        <v>-2389</v>
      </c>
      <c r="P122" s="13">
        <f>ROUND(SUM(P112+P118),1)</f>
        <v>-457.8</v>
      </c>
      <c r="R122" s="13">
        <f>ROUND(SUM(R112+R118),1)</f>
        <v>257.89999999999998</v>
      </c>
      <c r="T122" s="13">
        <f>ROUND(SUM(T112+T118),1)</f>
        <v>-4202.1000000000004</v>
      </c>
      <c r="V122" s="13">
        <f>ROUND(SUM(V112+V118),1)</f>
        <v>-530.70000000000005</v>
      </c>
      <c r="X122" s="13">
        <f>ROUND(SUM(X112+X118),1)</f>
        <v>1894.1</v>
      </c>
      <c r="Z122" s="13">
        <f>ROUND(SUM(Z112+Z118),1)</f>
        <v>0</v>
      </c>
      <c r="AA122" s="13"/>
      <c r="AB122" s="367">
        <f>ROUND(SUM(AB112+AB118),1)</f>
        <v>0</v>
      </c>
      <c r="AC122" s="1617"/>
      <c r="AD122" s="14"/>
      <c r="AE122" s="13">
        <f>ROUND(SUM(AE112+AE118),1)</f>
        <v>-630.1</v>
      </c>
      <c r="AF122" s="13"/>
      <c r="AG122" s="14"/>
      <c r="AH122" s="13">
        <f>ROUND(SUM(AH112+AH118),1)</f>
        <v>2041.7</v>
      </c>
      <c r="AI122" s="79"/>
      <c r="AJ122" s="13"/>
      <c r="AK122" s="367">
        <f>ROUND(SUM(AE122-AH122),1)</f>
        <v>-2671.8</v>
      </c>
      <c r="AL122" s="61"/>
      <c r="AM122" s="625">
        <f>ROUND(SUM(AK122/ABS(AH122)),3)</f>
        <v>-1.3089999999999999</v>
      </c>
      <c r="AN122" s="416"/>
      <c r="AO122" s="416"/>
      <c r="AP122" s="416"/>
      <c r="AQ122" s="416"/>
      <c r="AR122" s="416"/>
      <c r="AS122" s="416"/>
      <c r="AT122" s="416"/>
      <c r="AU122" s="374"/>
      <c r="AV122" s="374"/>
      <c r="AW122" s="374"/>
      <c r="AX122" s="374"/>
    </row>
    <row r="123" spans="1:50" ht="15" customHeight="1">
      <c r="A123" s="301"/>
      <c r="B123" s="301"/>
      <c r="C123" s="301"/>
      <c r="D123" s="1015"/>
      <c r="F123" s="1015"/>
      <c r="H123" s="1015"/>
      <c r="J123" s="1015"/>
      <c r="L123" s="1015"/>
      <c r="N123" s="1015"/>
      <c r="P123" s="1015"/>
      <c r="R123" s="1015"/>
      <c r="T123" s="1015"/>
      <c r="V123" s="1015"/>
      <c r="X123" s="1015"/>
      <c r="Z123" s="1015"/>
      <c r="AA123" s="374"/>
      <c r="AB123" s="374"/>
      <c r="AC123" s="1618"/>
      <c r="AD123" s="1060"/>
      <c r="AE123" s="1015"/>
      <c r="AF123" s="374"/>
      <c r="AG123" s="1060"/>
      <c r="AH123" s="1015"/>
      <c r="AI123" s="1061"/>
      <c r="AJ123" s="374"/>
      <c r="AK123" s="374"/>
      <c r="AL123" s="374"/>
      <c r="AM123" s="293"/>
      <c r="AN123" s="416"/>
      <c r="AO123" s="416"/>
      <c r="AP123" s="416"/>
      <c r="AQ123" s="416"/>
      <c r="AR123" s="416"/>
      <c r="AS123" s="416"/>
      <c r="AT123" s="416"/>
      <c r="AU123" s="374"/>
      <c r="AV123" s="374"/>
      <c r="AW123" s="374"/>
      <c r="AX123" s="374"/>
    </row>
    <row r="124" spans="1:50" ht="15" customHeight="1" thickBot="1">
      <c r="A124" s="301"/>
      <c r="B124" s="3" t="s">
        <v>527</v>
      </c>
      <c r="C124" s="301"/>
      <c r="D124" s="20">
        <f>ROUND(SUM(D13+D122),1)</f>
        <v>24032.799999999999</v>
      </c>
      <c r="F124" s="20">
        <f>ROUND(SUM(F13+F122),1)</f>
        <v>24134.2</v>
      </c>
      <c r="H124" s="20">
        <f>ROUND(SUM(H13+H122),1)</f>
        <v>24410.1</v>
      </c>
      <c r="J124" s="20">
        <f>ROUND(SUM(J13+J122),1)</f>
        <v>24320.2</v>
      </c>
      <c r="L124" s="20">
        <f>ROUND(SUM(L13+L122),1)</f>
        <v>25592.3</v>
      </c>
      <c r="N124" s="20">
        <f>ROUND(SUM(N13+N122),1)</f>
        <v>23203.3</v>
      </c>
      <c r="P124" s="20">
        <f>ROUND(SUM(P13+P122),1)</f>
        <v>22745.5</v>
      </c>
      <c r="R124" s="20">
        <f>ROUND(SUM(R13+R122),1)</f>
        <v>23003.4</v>
      </c>
      <c r="T124" s="20">
        <f>ROUND(SUM(T13+T122),1)</f>
        <v>18801.3</v>
      </c>
      <c r="V124" s="20">
        <f>ROUND(SUM(V13+V122),1)</f>
        <v>18270.599999999999</v>
      </c>
      <c r="X124" s="20">
        <f>ROUND(SUM(X13+X122),1)</f>
        <v>20164.7</v>
      </c>
      <c r="Z124" s="20">
        <f>ROUND(SUM(Z13+Z122),1)</f>
        <v>0</v>
      </c>
      <c r="AA124" s="20"/>
      <c r="AB124" s="1615">
        <f>ROUND(SUM(AB13+AB122),1)</f>
        <v>0</v>
      </c>
      <c r="AC124" s="1619"/>
      <c r="AD124" s="21"/>
      <c r="AE124" s="20">
        <f>ROUND(SUM(AE13+AE122),1)</f>
        <v>20164.7</v>
      </c>
      <c r="AF124" s="20"/>
      <c r="AG124" s="21"/>
      <c r="AH124" s="74">
        <f>ROUND(SUM(AH13+AH122),1)</f>
        <v>25981.9</v>
      </c>
      <c r="AI124" s="77"/>
      <c r="AJ124" s="20"/>
      <c r="AK124" s="74">
        <f>ROUND(SUM(AE124-AH124),1)</f>
        <v>-5817.2</v>
      </c>
      <c r="AL124" s="45"/>
      <c r="AM124" s="81">
        <f>ROUND(SUM(+AK124/AH124),3)</f>
        <v>-0.224</v>
      </c>
      <c r="AN124" s="416"/>
      <c r="AO124" s="416"/>
      <c r="AP124" s="416"/>
      <c r="AQ124" s="416"/>
      <c r="AR124" s="416"/>
      <c r="AS124" s="416"/>
      <c r="AT124" s="416"/>
      <c r="AU124" s="416"/>
      <c r="AV124" s="416"/>
      <c r="AW124" s="416"/>
      <c r="AX124" s="416"/>
    </row>
    <row r="125" spans="1:50" ht="15" customHeight="1" thickTop="1">
      <c r="A125" s="301"/>
      <c r="B125" s="301"/>
      <c r="C125" s="301"/>
      <c r="D125" s="1068"/>
      <c r="F125" s="1068"/>
      <c r="H125" s="1068"/>
      <c r="J125" s="1068"/>
      <c r="L125" s="1068"/>
      <c r="N125" s="1068"/>
      <c r="P125" s="1068"/>
      <c r="R125" s="1068"/>
      <c r="T125" s="1068"/>
      <c r="V125" s="1068"/>
      <c r="X125" s="1068"/>
      <c r="Z125" s="1068"/>
      <c r="AA125" s="416"/>
      <c r="AB125" s="416"/>
      <c r="AC125" s="416"/>
      <c r="AD125" s="416"/>
      <c r="AE125" s="1068"/>
      <c r="AF125" s="416"/>
      <c r="AG125" s="416"/>
      <c r="AH125" s="416"/>
      <c r="AI125" s="416"/>
      <c r="AJ125" s="416"/>
      <c r="AK125" s="416"/>
      <c r="AL125" s="416"/>
      <c r="AM125" s="293"/>
      <c r="AN125" s="416"/>
      <c r="AO125" s="416"/>
      <c r="AP125" s="416"/>
      <c r="AQ125" s="416"/>
      <c r="AR125" s="416"/>
      <c r="AS125" s="416"/>
      <c r="AT125" s="416"/>
      <c r="AU125" s="416"/>
      <c r="AV125" s="416"/>
      <c r="AW125" s="416"/>
      <c r="AX125" s="416"/>
    </row>
    <row r="126" spans="1:50" ht="15" customHeight="1">
      <c r="A126" s="301"/>
      <c r="B126" s="301"/>
      <c r="C126" s="301"/>
      <c r="D126" s="416"/>
      <c r="F126" s="416"/>
      <c r="H126" s="416"/>
      <c r="J126" s="416"/>
      <c r="L126" s="416"/>
      <c r="N126" s="416"/>
      <c r="P126" s="416"/>
      <c r="R126" s="416"/>
      <c r="T126" s="416"/>
      <c r="V126" s="416"/>
      <c r="X126" s="416"/>
      <c r="Z126" s="416"/>
      <c r="AA126" s="416"/>
      <c r="AB126" s="416" t="s">
        <v>103</v>
      </c>
      <c r="AC126" s="416"/>
      <c r="AD126" s="416"/>
      <c r="AE126" s="416"/>
      <c r="AF126" s="416"/>
      <c r="AG126" s="416"/>
      <c r="AH126" s="416"/>
      <c r="AI126" s="416"/>
      <c r="AJ126" s="416"/>
      <c r="AK126" s="416"/>
      <c r="AL126" s="416"/>
      <c r="AM126" s="293"/>
      <c r="AN126" s="416"/>
      <c r="AO126" s="416"/>
      <c r="AP126" s="416"/>
      <c r="AQ126" s="416"/>
      <c r="AR126" s="416"/>
      <c r="AS126" s="416"/>
      <c r="AT126" s="416"/>
      <c r="AU126" s="416"/>
      <c r="AV126" s="416"/>
      <c r="AW126" s="416"/>
      <c r="AX126" s="416"/>
    </row>
    <row r="127" spans="1:50" ht="15" customHeight="1">
      <c r="A127" s="374"/>
      <c r="B127" s="374" t="s">
        <v>528</v>
      </c>
      <c r="C127" s="374"/>
      <c r="D127" s="416"/>
      <c r="F127" s="416"/>
      <c r="H127" s="416"/>
      <c r="J127" s="416"/>
      <c r="L127" s="416"/>
      <c r="N127" s="416"/>
      <c r="P127" s="416"/>
      <c r="R127" s="416"/>
      <c r="T127" s="416"/>
      <c r="V127" s="416"/>
      <c r="X127" s="416"/>
      <c r="Z127" s="416"/>
      <c r="AA127" s="416"/>
      <c r="AB127" s="416" t="s">
        <v>103</v>
      </c>
      <c r="AC127" s="416"/>
      <c r="AD127" s="416"/>
      <c r="AE127" s="416"/>
      <c r="AF127" s="416"/>
      <c r="AG127" s="416"/>
      <c r="AH127" s="416"/>
      <c r="AI127" s="416"/>
      <c r="AJ127" s="416"/>
      <c r="AK127" s="416"/>
      <c r="AL127" s="416"/>
      <c r="AM127" s="293"/>
      <c r="AN127" s="416"/>
      <c r="AO127" s="416"/>
      <c r="AP127" s="416"/>
      <c r="AQ127" s="416"/>
      <c r="AR127" s="416"/>
      <c r="AS127" s="416"/>
      <c r="AT127" s="416"/>
      <c r="AU127" s="416"/>
      <c r="AV127" s="416"/>
      <c r="AW127" s="416"/>
      <c r="AX127" s="416"/>
    </row>
    <row r="128" spans="1:50" ht="15" customHeight="1">
      <c r="A128" s="374"/>
      <c r="B128" s="62"/>
      <c r="C128" s="374"/>
      <c r="D128" s="416"/>
      <c r="F128" s="416"/>
      <c r="H128" s="416"/>
      <c r="J128" s="416"/>
      <c r="L128" s="416"/>
      <c r="N128" s="416"/>
      <c r="P128" s="416"/>
      <c r="R128" s="416"/>
      <c r="T128" s="416"/>
      <c r="V128" s="416"/>
      <c r="X128" s="416"/>
      <c r="Z128" s="416"/>
      <c r="AA128" s="416"/>
      <c r="AB128" s="416"/>
      <c r="AC128" s="416"/>
      <c r="AD128" s="416"/>
      <c r="AE128" s="416"/>
      <c r="AF128" s="416"/>
      <c r="AG128" s="416"/>
      <c r="AH128" s="416"/>
      <c r="AI128" s="416"/>
      <c r="AJ128" s="416"/>
      <c r="AK128" s="416"/>
      <c r="AL128" s="416"/>
      <c r="AM128" s="293"/>
      <c r="AN128" s="416"/>
      <c r="AO128" s="416"/>
      <c r="AP128" s="416"/>
      <c r="AQ128" s="416"/>
      <c r="AR128" s="416"/>
      <c r="AS128" s="416"/>
      <c r="AT128" s="416"/>
      <c r="AU128" s="416"/>
      <c r="AV128" s="416"/>
      <c r="AW128" s="416"/>
      <c r="AX128" s="416"/>
    </row>
    <row r="129" spans="8:39" ht="15" customHeight="1">
      <c r="H129" s="374"/>
      <c r="J129" s="374"/>
      <c r="L129" s="374"/>
      <c r="N129" s="374"/>
      <c r="P129" s="374"/>
      <c r="R129" s="374"/>
      <c r="T129" s="374"/>
      <c r="V129" s="374"/>
      <c r="X129" s="374"/>
      <c r="Z129" s="374"/>
      <c r="AA129" s="374"/>
      <c r="AB129" s="374"/>
      <c r="AC129" s="374"/>
      <c r="AD129" s="374"/>
      <c r="AE129" s="374"/>
      <c r="AF129" s="374"/>
      <c r="AG129" s="374"/>
      <c r="AH129" s="374"/>
      <c r="AI129" s="374"/>
      <c r="AJ129" s="374"/>
      <c r="AK129" s="374"/>
      <c r="AL129" s="374"/>
      <c r="AM129" s="293"/>
    </row>
    <row r="130" spans="8:39" ht="15" customHeight="1">
      <c r="H130" s="374"/>
      <c r="J130" s="374"/>
      <c r="L130" s="374"/>
      <c r="N130" s="374"/>
      <c r="P130" s="374"/>
      <c r="R130" s="374"/>
      <c r="T130" s="374"/>
      <c r="V130" s="374"/>
      <c r="X130" s="374"/>
      <c r="Z130" s="374"/>
      <c r="AA130" s="374"/>
      <c r="AB130" s="374"/>
      <c r="AC130" s="374"/>
      <c r="AD130" s="374"/>
      <c r="AE130" s="374"/>
      <c r="AF130" s="374"/>
      <c r="AG130" s="374"/>
      <c r="AH130" s="374"/>
      <c r="AI130" s="374"/>
      <c r="AJ130" s="374"/>
      <c r="AK130" s="374"/>
      <c r="AL130" s="374"/>
      <c r="AM130" s="293"/>
    </row>
    <row r="131" spans="8:39" ht="15" customHeight="1">
      <c r="H131" s="374"/>
      <c r="J131" s="374"/>
      <c r="L131" s="374"/>
      <c r="N131" s="374"/>
      <c r="P131" s="374"/>
      <c r="R131" s="374"/>
      <c r="T131" s="374"/>
      <c r="V131" s="374"/>
      <c r="X131" s="374"/>
      <c r="Z131" s="374"/>
      <c r="AA131" s="374"/>
      <c r="AB131" s="374"/>
      <c r="AC131" s="374"/>
      <c r="AD131" s="374"/>
      <c r="AE131" s="374"/>
      <c r="AF131" s="374"/>
      <c r="AG131" s="374"/>
      <c r="AH131" s="374"/>
      <c r="AI131" s="374"/>
      <c r="AJ131" s="374"/>
      <c r="AK131" s="374"/>
      <c r="AL131" s="374"/>
      <c r="AM131" s="293"/>
    </row>
    <row r="132" spans="8:39" ht="15" customHeight="1">
      <c r="H132" s="374" t="s">
        <v>103</v>
      </c>
      <c r="J132" s="374"/>
      <c r="L132" s="374"/>
      <c r="N132" s="374"/>
      <c r="P132" s="374"/>
      <c r="R132" s="374"/>
      <c r="T132" s="374"/>
      <c r="V132" s="374"/>
      <c r="X132" s="374"/>
      <c r="Z132" s="374"/>
      <c r="AA132" s="374"/>
      <c r="AB132" s="374"/>
      <c r="AC132" s="374"/>
      <c r="AD132" s="374"/>
      <c r="AE132" s="374"/>
      <c r="AF132" s="374"/>
      <c r="AG132" s="374"/>
      <c r="AH132" s="374"/>
      <c r="AI132" s="374"/>
      <c r="AJ132" s="374"/>
      <c r="AK132" s="374"/>
      <c r="AL132" s="374"/>
      <c r="AM132" s="293"/>
    </row>
    <row r="133" spans="8:39" ht="15" customHeight="1">
      <c r="H133" s="374" t="s">
        <v>103</v>
      </c>
      <c r="J133" s="374"/>
      <c r="L133" s="374"/>
      <c r="N133" s="374"/>
      <c r="P133" s="374"/>
      <c r="R133" s="374"/>
      <c r="T133" s="374"/>
      <c r="V133" s="374"/>
      <c r="X133" s="374"/>
      <c r="Z133" s="374"/>
      <c r="AA133" s="374"/>
      <c r="AB133" s="374"/>
      <c r="AC133" s="374"/>
      <c r="AD133" s="374"/>
      <c r="AE133" s="374"/>
      <c r="AF133" s="374"/>
      <c r="AG133" s="374"/>
      <c r="AH133" s="374"/>
      <c r="AI133" s="374"/>
      <c r="AJ133" s="374"/>
      <c r="AK133" s="374"/>
      <c r="AL133" s="374"/>
      <c r="AM133" s="293"/>
    </row>
    <row r="134" spans="8:39" ht="15" customHeight="1">
      <c r="H134" s="374"/>
      <c r="J134" s="374"/>
      <c r="L134" s="374"/>
      <c r="N134" s="374"/>
      <c r="P134" s="374"/>
      <c r="R134" s="374"/>
      <c r="T134" s="374"/>
      <c r="V134" s="374"/>
      <c r="X134" s="374"/>
      <c r="Z134" s="374"/>
      <c r="AA134" s="374"/>
      <c r="AB134" s="374"/>
      <c r="AC134" s="374"/>
      <c r="AD134" s="374"/>
      <c r="AE134" s="374"/>
      <c r="AF134" s="374"/>
      <c r="AG134" s="374"/>
      <c r="AH134" s="374"/>
      <c r="AI134" s="374"/>
      <c r="AJ134" s="374"/>
      <c r="AK134" s="374"/>
      <c r="AL134" s="374"/>
      <c r="AM134" s="293"/>
    </row>
    <row r="135" spans="8:39" ht="15" customHeight="1">
      <c r="H135" s="374"/>
      <c r="J135" s="374"/>
      <c r="L135" s="374"/>
      <c r="N135" s="374"/>
      <c r="P135" s="374"/>
      <c r="R135" s="374"/>
      <c r="T135" s="374"/>
      <c r="V135" s="374"/>
      <c r="X135" s="374"/>
      <c r="Z135" s="374"/>
      <c r="AA135" s="374"/>
      <c r="AB135" s="374"/>
      <c r="AC135" s="374"/>
      <c r="AD135" s="374"/>
      <c r="AE135" s="374"/>
      <c r="AF135" s="374"/>
      <c r="AG135" s="374"/>
      <c r="AH135" s="374"/>
      <c r="AI135" s="374"/>
      <c r="AJ135" s="374"/>
      <c r="AK135" s="374"/>
      <c r="AL135" s="374"/>
      <c r="AM135" s="293"/>
    </row>
    <row r="136" spans="8:39" ht="15" customHeight="1">
      <c r="H136" s="374"/>
      <c r="J136" s="374"/>
      <c r="L136" s="374"/>
      <c r="N136" s="374"/>
      <c r="P136" s="374"/>
      <c r="R136" s="374"/>
      <c r="T136" s="374"/>
      <c r="V136" s="374"/>
      <c r="X136" s="374"/>
      <c r="Z136" s="374"/>
      <c r="AA136" s="374"/>
      <c r="AB136" s="374"/>
      <c r="AC136" s="374"/>
      <c r="AD136" s="374"/>
      <c r="AE136" s="374"/>
      <c r="AF136" s="374"/>
      <c r="AG136" s="374"/>
      <c r="AH136" s="374"/>
      <c r="AI136" s="374"/>
      <c r="AJ136" s="374"/>
      <c r="AK136" s="374"/>
      <c r="AL136" s="374"/>
      <c r="AM136" s="293"/>
    </row>
    <row r="137" spans="8:39" ht="15" customHeight="1">
      <c r="H137" s="374"/>
      <c r="J137" s="374"/>
      <c r="L137" s="374"/>
      <c r="N137" s="374"/>
      <c r="P137" s="374"/>
      <c r="R137" s="374"/>
      <c r="T137" s="374"/>
      <c r="V137" s="374"/>
      <c r="X137" s="374"/>
      <c r="Z137" s="374"/>
      <c r="AA137" s="374"/>
      <c r="AB137" s="374"/>
      <c r="AC137" s="374"/>
      <c r="AD137" s="374"/>
      <c r="AE137" s="374"/>
      <c r="AF137" s="374"/>
      <c r="AG137" s="374"/>
      <c r="AH137" s="374"/>
      <c r="AI137" s="374"/>
      <c r="AJ137" s="374"/>
      <c r="AK137" s="374"/>
      <c r="AL137" s="374"/>
      <c r="AM137" s="293"/>
    </row>
    <row r="138" spans="8:39" ht="15" customHeight="1">
      <c r="H138" s="374"/>
      <c r="J138" s="374"/>
      <c r="L138" s="374"/>
      <c r="N138" s="374"/>
      <c r="P138" s="374"/>
      <c r="R138" s="374"/>
      <c r="T138" s="374"/>
      <c r="V138" s="374"/>
      <c r="X138" s="374"/>
      <c r="Z138" s="374"/>
      <c r="AA138" s="374"/>
      <c r="AB138" s="374"/>
      <c r="AC138" s="374"/>
      <c r="AD138" s="374"/>
      <c r="AE138" s="374"/>
      <c r="AF138" s="374"/>
      <c r="AG138" s="374"/>
      <c r="AH138" s="374"/>
      <c r="AI138" s="374"/>
      <c r="AJ138" s="374"/>
      <c r="AK138" s="374"/>
      <c r="AL138" s="374"/>
      <c r="AM138" s="293"/>
    </row>
    <row r="139" spans="8:39" ht="15" customHeight="1">
      <c r="H139" s="374"/>
      <c r="J139" s="374"/>
      <c r="L139" s="374"/>
      <c r="N139" s="374"/>
      <c r="P139" s="374"/>
      <c r="R139" s="374"/>
      <c r="T139" s="374"/>
      <c r="V139" s="374"/>
      <c r="X139" s="374"/>
      <c r="Z139" s="374"/>
      <c r="AA139" s="374"/>
      <c r="AB139" s="374"/>
      <c r="AC139" s="374"/>
      <c r="AD139" s="374"/>
      <c r="AE139" s="374"/>
      <c r="AF139" s="374"/>
      <c r="AG139" s="374"/>
      <c r="AH139" s="374"/>
      <c r="AI139" s="374"/>
      <c r="AJ139" s="374"/>
      <c r="AK139" s="374"/>
      <c r="AL139" s="374"/>
      <c r="AM139" s="293"/>
    </row>
    <row r="140" spans="8:39" ht="15" customHeight="1">
      <c r="H140" s="374"/>
      <c r="J140" s="374"/>
      <c r="L140" s="374"/>
      <c r="N140" s="374"/>
      <c r="P140" s="374"/>
      <c r="R140" s="374"/>
      <c r="T140" s="374"/>
      <c r="V140" s="374"/>
      <c r="X140" s="374"/>
      <c r="Z140" s="374"/>
      <c r="AA140" s="374"/>
      <c r="AB140" s="374"/>
      <c r="AC140" s="374"/>
      <c r="AD140" s="374"/>
      <c r="AE140" s="374"/>
      <c r="AF140" s="374"/>
      <c r="AG140" s="374"/>
      <c r="AH140" s="374"/>
      <c r="AI140" s="374"/>
      <c r="AJ140" s="374"/>
      <c r="AK140" s="374"/>
      <c r="AL140" s="374"/>
      <c r="AM140" s="293"/>
    </row>
    <row r="141" spans="8:39" ht="15" customHeight="1">
      <c r="H141" s="374"/>
      <c r="J141" s="374"/>
      <c r="L141" s="374"/>
      <c r="N141" s="374"/>
      <c r="P141" s="374"/>
      <c r="R141" s="374"/>
      <c r="T141" s="374"/>
      <c r="V141" s="374"/>
      <c r="X141" s="374"/>
      <c r="Z141" s="374"/>
      <c r="AA141" s="374"/>
      <c r="AB141" s="374"/>
      <c r="AC141" s="374"/>
      <c r="AD141" s="374"/>
      <c r="AE141" s="374"/>
      <c r="AF141" s="374"/>
      <c r="AG141" s="374"/>
      <c r="AH141" s="374"/>
      <c r="AI141" s="374"/>
      <c r="AJ141" s="374"/>
      <c r="AK141" s="374"/>
      <c r="AL141" s="374"/>
      <c r="AM141" s="293"/>
    </row>
    <row r="142" spans="8:39" ht="15" customHeight="1">
      <c r="H142" s="374"/>
      <c r="J142" s="374"/>
      <c r="L142" s="374"/>
      <c r="N142" s="374"/>
      <c r="P142" s="374"/>
      <c r="R142" s="374"/>
      <c r="T142" s="374"/>
      <c r="V142" s="374"/>
      <c r="X142" s="374"/>
      <c r="Z142" s="374"/>
      <c r="AA142" s="374"/>
      <c r="AB142" s="374"/>
      <c r="AC142" s="374"/>
      <c r="AD142" s="374"/>
      <c r="AE142" s="374"/>
      <c r="AF142" s="374"/>
      <c r="AG142" s="374"/>
      <c r="AH142" s="374"/>
      <c r="AI142" s="374"/>
      <c r="AJ142" s="374"/>
      <c r="AK142" s="374"/>
      <c r="AL142" s="374"/>
      <c r="AM142" s="293"/>
    </row>
    <row r="143" spans="8:39" ht="15" customHeight="1">
      <c r="H143" s="374"/>
      <c r="J143" s="374"/>
      <c r="L143" s="374"/>
      <c r="N143" s="374"/>
      <c r="P143" s="374"/>
      <c r="R143" s="374"/>
      <c r="T143" s="374"/>
      <c r="V143" s="374"/>
      <c r="X143" s="374"/>
      <c r="Z143" s="374"/>
      <c r="AA143" s="374"/>
      <c r="AB143" s="374"/>
      <c r="AC143" s="374"/>
      <c r="AD143" s="374"/>
      <c r="AE143" s="374"/>
      <c r="AF143" s="374"/>
      <c r="AG143" s="374"/>
      <c r="AH143" s="374"/>
      <c r="AI143" s="374"/>
      <c r="AJ143" s="374"/>
      <c r="AK143" s="374"/>
      <c r="AL143" s="374"/>
      <c r="AM143" s="293"/>
    </row>
    <row r="144" spans="8:39" ht="15" customHeight="1">
      <c r="H144" s="374"/>
      <c r="J144" s="374"/>
      <c r="L144" s="374"/>
      <c r="N144" s="374"/>
      <c r="P144" s="374"/>
      <c r="R144" s="374"/>
      <c r="T144" s="374"/>
      <c r="V144" s="374"/>
      <c r="X144" s="374"/>
      <c r="Z144" s="374"/>
      <c r="AA144" s="374"/>
      <c r="AB144" s="374"/>
      <c r="AC144" s="374"/>
      <c r="AD144" s="374"/>
      <c r="AE144" s="374"/>
      <c r="AF144" s="374"/>
      <c r="AG144" s="374"/>
      <c r="AH144" s="374"/>
      <c r="AI144" s="374"/>
      <c r="AJ144" s="374"/>
      <c r="AK144" s="374"/>
      <c r="AL144" s="374"/>
      <c r="AM144" s="293"/>
    </row>
    <row r="145" spans="37:39" ht="15" customHeight="1">
      <c r="AK145" s="374"/>
      <c r="AL145" s="374"/>
      <c r="AM145" s="293"/>
    </row>
    <row r="146" spans="37:39" ht="15" customHeight="1">
      <c r="AK146" s="374"/>
      <c r="AL146" s="374"/>
      <c r="AM146" s="293"/>
    </row>
    <row r="147" spans="37:39" ht="15" customHeight="1">
      <c r="AK147" s="374"/>
      <c r="AL147" s="374"/>
      <c r="AM147" s="293"/>
    </row>
    <row r="148" spans="37:39" ht="15" customHeight="1">
      <c r="AK148" s="374"/>
      <c r="AL148" s="374"/>
      <c r="AM148" s="293"/>
    </row>
    <row r="149" spans="37:39" ht="15" customHeight="1">
      <c r="AK149" s="374"/>
      <c r="AL149" s="374"/>
      <c r="AM149" s="293"/>
    </row>
    <row r="150" spans="37:39" ht="15" customHeight="1">
      <c r="AK150" s="374"/>
      <c r="AL150" s="374"/>
      <c r="AM150" s="293"/>
    </row>
    <row r="151" spans="37:39" ht="15" customHeight="1">
      <c r="AK151" s="374"/>
      <c r="AL151" s="374"/>
      <c r="AM151" s="293"/>
    </row>
    <row r="152" spans="37:39" ht="15" customHeight="1">
      <c r="AK152" s="374"/>
      <c r="AL152" s="374"/>
      <c r="AM152" s="293"/>
    </row>
    <row r="153" spans="37:39" ht="15" customHeight="1">
      <c r="AK153" s="374"/>
      <c r="AL153" s="374"/>
      <c r="AM153" s="293"/>
    </row>
    <row r="154" spans="37:39" ht="15" customHeight="1">
      <c r="AK154" s="374"/>
      <c r="AL154" s="374"/>
      <c r="AM154" s="293"/>
    </row>
    <row r="155" spans="37:39" ht="15" customHeight="1">
      <c r="AK155" s="374"/>
      <c r="AL155" s="374"/>
      <c r="AM155" s="293"/>
    </row>
    <row r="156" spans="37:39" ht="15" customHeight="1">
      <c r="AK156" s="374"/>
      <c r="AL156" s="374"/>
      <c r="AM156" s="293"/>
    </row>
    <row r="157" spans="37:39" ht="15" customHeight="1">
      <c r="AK157" s="374"/>
      <c r="AL157" s="374"/>
      <c r="AM157" s="293"/>
    </row>
    <row r="158" spans="37:39" ht="15" customHeight="1">
      <c r="AK158" s="374"/>
      <c r="AL158" s="374"/>
      <c r="AM158" s="293"/>
    </row>
    <row r="159" spans="37:39" ht="15" customHeight="1">
      <c r="AK159" s="374"/>
      <c r="AL159" s="374"/>
      <c r="AM159" s="293"/>
    </row>
    <row r="160" spans="37:39" ht="15" customHeight="1">
      <c r="AK160" s="374"/>
      <c r="AL160" s="374"/>
      <c r="AM160" s="293"/>
    </row>
    <row r="161" spans="37:39" ht="15" customHeight="1">
      <c r="AK161" s="374"/>
      <c r="AL161" s="374"/>
      <c r="AM161" s="293"/>
    </row>
    <row r="162" spans="37:39" ht="15" customHeight="1">
      <c r="AK162" s="374"/>
      <c r="AL162" s="374"/>
      <c r="AM162" s="293"/>
    </row>
    <row r="163" spans="37:39" ht="15" customHeight="1">
      <c r="AK163" s="374"/>
      <c r="AL163" s="374"/>
      <c r="AM163" s="293"/>
    </row>
    <row r="164" spans="37:39" ht="15" customHeight="1">
      <c r="AK164" s="374"/>
      <c r="AL164" s="374"/>
      <c r="AM164" s="293"/>
    </row>
    <row r="165" spans="37:39" ht="15" customHeight="1">
      <c r="AK165" s="374"/>
      <c r="AL165" s="374"/>
      <c r="AM165" s="293"/>
    </row>
    <row r="166" spans="37:39" ht="15" customHeight="1">
      <c r="AK166" s="374"/>
      <c r="AL166" s="374"/>
      <c r="AM166" s="293"/>
    </row>
    <row r="167" spans="37:39" ht="15" customHeight="1">
      <c r="AK167" s="374"/>
      <c r="AL167" s="374"/>
      <c r="AM167" s="293"/>
    </row>
    <row r="168" spans="37:39" ht="15" customHeight="1">
      <c r="AK168" s="374"/>
      <c r="AL168" s="374"/>
      <c r="AM168" s="293"/>
    </row>
    <row r="169" spans="37:39" ht="15" customHeight="1">
      <c r="AK169" s="374"/>
      <c r="AL169" s="374"/>
      <c r="AM169" s="293"/>
    </row>
    <row r="170" spans="37:39" ht="15" customHeight="1">
      <c r="AK170" s="374"/>
      <c r="AL170" s="374"/>
      <c r="AM170" s="293"/>
    </row>
    <row r="171" spans="37:39" ht="15" customHeight="1">
      <c r="AK171" s="374"/>
      <c r="AL171" s="374"/>
    </row>
    <row r="172" spans="37:39" ht="15" customHeight="1">
      <c r="AK172" s="374"/>
      <c r="AL172" s="374"/>
    </row>
    <row r="173" spans="37:39" ht="15" customHeight="1">
      <c r="AK173" s="374"/>
      <c r="AL173" s="374"/>
    </row>
    <row r="174" spans="37:39" ht="15" customHeight="1">
      <c r="AK174" s="374"/>
      <c r="AL174" s="374"/>
    </row>
    <row r="175" spans="37:39" ht="15" customHeight="1">
      <c r="AK175" s="374"/>
      <c r="AL175" s="374"/>
    </row>
    <row r="176" spans="37:39" ht="15" customHeight="1">
      <c r="AK176" s="374"/>
      <c r="AL176" s="374"/>
    </row>
  </sheetData>
  <mergeCells count="1">
    <mergeCell ref="AD9:AM9"/>
  </mergeCells>
  <printOptions horizontalCentered="1"/>
  <pageMargins left="0.25" right="0.25" top="0.5" bottom="0.25" header="0" footer="0.25"/>
  <pageSetup scale="36" firstPageNumber="23" fitToHeight="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M110:AM111 AM119:AM121 AM123 AM125 AM50:AM51 AM78:AM85 AM87:AM90 AM101:AM104 AM113:AM115 AM19:AM20 AM108 AM29:AM33 AM117 AM63 AM93 AM35:AM46 AM53:AM56 AM66:AM69 AM61 AM95:AM97 AM48" unlockedFormula="1"/>
    <ignoredError sqref="AM76:AM77 AM73 AM58 AM26 AM22 AM24" formula="1" unlockedFormula="1"/>
    <ignoredError sqref="AK23:AM23 AM52 AM91 AK72 AM71 AM65 AM34 AM21 AM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0" workbookViewId="0"/>
  </sheetViews>
  <sheetFormatPr defaultColWidth="8.69140625" defaultRowHeight="10"/>
  <cols>
    <col min="1" max="1" width="35.07421875" style="1388" customWidth="1"/>
    <col min="2" max="2" width="9.07421875" style="1388" customWidth="1"/>
    <col min="3" max="3" width="5.53515625" style="1388" customWidth="1"/>
    <col min="4" max="4" width="12.69140625" style="1388" bestFit="1" customWidth="1"/>
    <col min="5" max="5" width="1.69140625" style="1388" customWidth="1"/>
    <col min="6" max="6" width="13.4609375" style="1388" customWidth="1"/>
    <col min="7" max="7" width="2.07421875" style="1388" customWidth="1"/>
    <col min="8" max="8" width="12.69140625" style="1388" bestFit="1" customWidth="1"/>
    <col min="9" max="9" width="1.69140625" style="1388" customWidth="1"/>
    <col min="10" max="10" width="13.69140625" style="1388" customWidth="1"/>
    <col min="11" max="11" width="1.69140625" style="1388" customWidth="1"/>
    <col min="12" max="12" width="11.69140625" style="1388" customWidth="1"/>
    <col min="13" max="13" width="2" style="1388" customWidth="1"/>
    <col min="14" max="14" width="13.69140625" style="1388" customWidth="1"/>
    <col min="15" max="15" width="1.69140625" style="1388" customWidth="1"/>
    <col min="16" max="16" width="13" style="1388" customWidth="1"/>
    <col min="17" max="17" width="1.69140625" style="1388" customWidth="1"/>
    <col min="18" max="18" width="13.07421875" style="1388" customWidth="1"/>
    <col min="19" max="21" width="1.07421875" style="1388" customWidth="1"/>
    <col min="22" max="22" width="12.69140625" style="1388" bestFit="1" customWidth="1"/>
    <col min="23" max="23" width="1.69140625" style="1388" customWidth="1"/>
    <col min="24" max="24" width="13.69140625" style="1388" customWidth="1"/>
    <col min="25" max="27" width="1.07421875" style="1388" customWidth="1"/>
    <col min="28" max="28" width="12.07421875" style="1388" customWidth="1"/>
    <col min="29" max="29" width="1.69140625" style="1388" customWidth="1"/>
    <col min="30" max="30" width="13.69140625" style="1388" customWidth="1"/>
    <col min="31" max="32" width="1" style="1388" customWidth="1"/>
    <col min="33" max="33" width="13.07421875" style="1388" bestFit="1" customWidth="1"/>
    <col min="34" max="34" width="1.69140625" style="1388" customWidth="1"/>
    <col min="35" max="35" width="12.69140625" style="1389" customWidth="1"/>
    <col min="36" max="36" width="19.07421875" style="2096" customWidth="1"/>
    <col min="37" max="16384" width="8.69140625" style="1390"/>
  </cols>
  <sheetData>
    <row r="1" spans="1:38" ht="15.5">
      <c r="A1" s="1387" t="s">
        <v>97</v>
      </c>
    </row>
    <row r="2" spans="1:38" ht="15.5">
      <c r="A2" s="1387"/>
    </row>
    <row r="3" spans="1:38" ht="20">
      <c r="A3" s="1391" t="s">
        <v>98</v>
      </c>
      <c r="B3" s="1392"/>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2"/>
      <c r="AG3" s="1392"/>
      <c r="AH3" s="1392"/>
      <c r="AI3" s="1393" t="s">
        <v>99</v>
      </c>
      <c r="AJ3" s="2097"/>
    </row>
    <row r="4" spans="1:38" ht="20.25" customHeight="1">
      <c r="A4" s="2102" t="s">
        <v>100</v>
      </c>
      <c r="B4" s="2103"/>
      <c r="C4" s="2103"/>
      <c r="D4" s="2103"/>
      <c r="E4" s="2103"/>
      <c r="F4" s="2103"/>
      <c r="G4" s="2103"/>
      <c r="H4" s="2103"/>
      <c r="I4" s="2103"/>
      <c r="J4" s="2103"/>
      <c r="K4" s="2103"/>
      <c r="L4" s="2103"/>
      <c r="M4" s="2103"/>
      <c r="N4" s="2103"/>
      <c r="O4" s="2103"/>
      <c r="P4" s="2103"/>
      <c r="Q4" s="2103"/>
      <c r="R4" s="2103"/>
      <c r="S4" s="2103"/>
      <c r="T4" s="2103"/>
      <c r="U4" s="2103"/>
      <c r="V4" s="2103"/>
      <c r="W4" s="2103"/>
      <c r="X4" s="2103"/>
      <c r="Y4" s="2103"/>
      <c r="Z4" s="2103"/>
      <c r="AA4" s="2103"/>
      <c r="AB4" s="2103"/>
      <c r="AC4" s="2103"/>
      <c r="AD4" s="2103"/>
      <c r="AE4" s="2103"/>
      <c r="AF4" s="2103"/>
      <c r="AG4" s="2103"/>
      <c r="AH4" s="2103"/>
      <c r="AI4" s="2103"/>
      <c r="AJ4" s="2097"/>
    </row>
    <row r="5" spans="1:38" ht="20">
      <c r="A5" s="2102" t="s">
        <v>101</v>
      </c>
      <c r="B5" s="2104"/>
      <c r="C5" s="2104"/>
      <c r="D5" s="2104"/>
      <c r="E5" s="2104"/>
      <c r="F5" s="2104"/>
      <c r="G5" s="2104"/>
      <c r="H5" s="2104"/>
      <c r="I5" s="2104"/>
      <c r="J5" s="2104"/>
      <c r="K5" s="2104"/>
      <c r="L5" s="2104"/>
      <c r="M5" s="2104"/>
      <c r="N5" s="2104"/>
      <c r="O5" s="2104"/>
      <c r="P5" s="2104"/>
      <c r="Q5" s="2104"/>
      <c r="R5" s="2104"/>
      <c r="S5" s="2104"/>
      <c r="T5" s="2104"/>
      <c r="U5" s="2104"/>
      <c r="V5" s="2104"/>
      <c r="W5" s="2104"/>
      <c r="X5" s="2104"/>
      <c r="Y5" s="2104"/>
      <c r="Z5" s="2104"/>
      <c r="AA5" s="2104"/>
      <c r="AB5" s="2104"/>
      <c r="AC5" s="2104"/>
      <c r="AD5" s="2104"/>
      <c r="AE5" s="2103"/>
      <c r="AF5" s="2103"/>
      <c r="AG5" s="2103"/>
      <c r="AH5" s="2103"/>
      <c r="AI5" s="2103"/>
      <c r="AJ5" s="2097"/>
    </row>
    <row r="6" spans="1:38" ht="21" customHeight="1">
      <c r="A6" s="2102" t="s">
        <v>102</v>
      </c>
      <c r="B6" s="2103"/>
      <c r="C6" s="2103"/>
      <c r="D6" s="2103"/>
      <c r="E6" s="2103"/>
      <c r="F6" s="2103"/>
      <c r="G6" s="2103"/>
      <c r="H6" s="2103"/>
      <c r="I6" s="2103"/>
      <c r="J6" s="2103"/>
      <c r="K6" s="2103"/>
      <c r="L6" s="2103"/>
      <c r="M6" s="2103"/>
      <c r="N6" s="2103"/>
      <c r="O6" s="2103"/>
      <c r="P6" s="2103"/>
      <c r="Q6" s="2103"/>
      <c r="R6" s="2103"/>
      <c r="S6" s="2103"/>
      <c r="T6" s="2103"/>
      <c r="U6" s="2103"/>
      <c r="V6" s="2103"/>
      <c r="W6" s="2103"/>
      <c r="X6" s="2103"/>
      <c r="Y6" s="2103"/>
      <c r="Z6" s="2103"/>
      <c r="AA6" s="2103"/>
      <c r="AB6" s="2103"/>
      <c r="AC6" s="2103"/>
      <c r="AD6" s="2103"/>
      <c r="AE6" s="2103"/>
      <c r="AF6" s="2103"/>
      <c r="AG6" s="2103"/>
      <c r="AH6" s="2103"/>
      <c r="AI6" s="2103"/>
      <c r="AJ6" s="2097"/>
    </row>
    <row r="7" spans="1:38" ht="15.5">
      <c r="A7" s="1394"/>
      <c r="B7" s="1394"/>
      <c r="C7" s="1394"/>
      <c r="D7" s="1394"/>
      <c r="E7" s="1394"/>
      <c r="F7" s="1394"/>
      <c r="G7" s="1394"/>
      <c r="H7" s="1395"/>
      <c r="I7" s="1395"/>
      <c r="J7" s="1395"/>
      <c r="K7" s="1395"/>
      <c r="L7" s="1395"/>
      <c r="M7" s="1394"/>
      <c r="N7" s="1395"/>
      <c r="O7" s="1395"/>
      <c r="P7" s="1395"/>
      <c r="Q7" s="1395"/>
      <c r="R7" s="1395"/>
      <c r="S7" s="1394"/>
      <c r="T7" s="1394"/>
      <c r="U7" s="1394"/>
      <c r="V7" s="1394"/>
      <c r="W7" s="1394"/>
      <c r="X7" s="1394"/>
      <c r="Y7" s="1394"/>
      <c r="Z7" s="1394"/>
      <c r="AA7" s="1394"/>
      <c r="AB7" s="1394"/>
      <c r="AC7" s="1394"/>
      <c r="AD7" s="1396"/>
      <c r="AE7" s="1396"/>
      <c r="AF7" s="1396"/>
      <c r="AG7" s="1396"/>
      <c r="AJ7" s="2097"/>
      <c r="AK7" s="294"/>
      <c r="AL7" s="294"/>
    </row>
    <row r="8" spans="1:38" ht="16.399999999999999" customHeight="1">
      <c r="A8" s="1395"/>
      <c r="B8" s="1394"/>
      <c r="C8" s="1394"/>
      <c r="D8" s="1395"/>
      <c r="E8" s="1394"/>
      <c r="F8" s="1394"/>
      <c r="G8" s="1394"/>
      <c r="H8" s="1395"/>
      <c r="I8" s="1395"/>
      <c r="J8" s="1395"/>
      <c r="K8" s="1395"/>
      <c r="L8" s="1395"/>
      <c r="M8" s="1394"/>
      <c r="N8" s="1395"/>
      <c r="O8" s="1395"/>
      <c r="P8" s="1395"/>
      <c r="Q8" s="1395"/>
      <c r="R8" s="1395"/>
      <c r="S8" s="1394"/>
      <c r="T8" s="1394"/>
      <c r="U8" s="1394"/>
      <c r="V8" s="1394"/>
      <c r="W8" s="1394"/>
      <c r="X8" s="1394" t="s">
        <v>103</v>
      </c>
      <c r="Y8" s="1394"/>
      <c r="Z8" s="1394"/>
      <c r="AA8" s="1394"/>
      <c r="AB8" s="1394"/>
      <c r="AC8" s="1394"/>
      <c r="AD8" s="1397"/>
      <c r="AE8" s="1397"/>
      <c r="AF8" s="1398"/>
      <c r="AG8" s="1398"/>
      <c r="AI8" s="1387"/>
      <c r="AJ8" s="2097"/>
      <c r="AK8" s="294"/>
      <c r="AL8" s="294"/>
    </row>
    <row r="9" spans="1:38" ht="16.399999999999999" customHeight="1">
      <c r="A9" s="1394"/>
      <c r="B9" s="1394"/>
      <c r="C9" s="1394"/>
      <c r="D9" s="1394"/>
      <c r="E9" s="1394"/>
      <c r="F9" s="1394"/>
      <c r="G9" s="1394"/>
      <c r="H9" s="1395"/>
      <c r="I9" s="1395"/>
      <c r="J9" s="1395"/>
      <c r="K9" s="1395"/>
      <c r="L9" s="1395"/>
      <c r="M9" s="1394"/>
      <c r="N9" s="1395"/>
      <c r="O9" s="1395"/>
      <c r="P9" s="1395"/>
      <c r="Q9" s="1395"/>
      <c r="R9" s="1395"/>
      <c r="S9" s="1394"/>
      <c r="T9" s="1394"/>
      <c r="U9" s="1394"/>
      <c r="V9" s="1394"/>
      <c r="W9" s="1394"/>
      <c r="X9" s="1394"/>
      <c r="Y9" s="1394"/>
      <c r="Z9" s="1394"/>
      <c r="AA9" s="1394"/>
      <c r="AB9" s="1394"/>
      <c r="AC9" s="1394"/>
      <c r="AD9" s="1399"/>
      <c r="AE9" s="1399"/>
      <c r="AF9" s="1399"/>
      <c r="AG9" s="1399"/>
      <c r="AI9" s="1387"/>
      <c r="AJ9" s="2097"/>
      <c r="AK9" s="294"/>
      <c r="AL9" s="294"/>
    </row>
    <row r="10" spans="1:38" ht="16.399999999999999" customHeight="1">
      <c r="A10" s="1400"/>
      <c r="B10" s="1400"/>
      <c r="C10" s="1400"/>
      <c r="D10" s="1401" t="s">
        <v>104</v>
      </c>
      <c r="E10" s="1401"/>
      <c r="F10" s="1401"/>
      <c r="G10" s="1399"/>
      <c r="H10" s="1401" t="s">
        <v>105</v>
      </c>
      <c r="I10" s="1401"/>
      <c r="J10" s="1401"/>
      <c r="K10" s="1399"/>
      <c r="L10" s="1401" t="s">
        <v>106</v>
      </c>
      <c r="M10" s="1401"/>
      <c r="N10" s="1401"/>
      <c r="O10" s="1399"/>
      <c r="P10" s="1401" t="s">
        <v>107</v>
      </c>
      <c r="Q10" s="1401"/>
      <c r="R10" s="1401"/>
      <c r="S10" s="1399"/>
      <c r="T10" s="1399"/>
      <c r="U10" s="1399"/>
      <c r="V10" s="2105" t="s">
        <v>108</v>
      </c>
      <c r="W10" s="2106"/>
      <c r="X10" s="2106"/>
      <c r="Y10" s="2106"/>
      <c r="Z10" s="2106"/>
      <c r="AA10" s="2106"/>
      <c r="AB10" s="2106"/>
      <c r="AC10" s="2106"/>
      <c r="AD10" s="2106"/>
      <c r="AE10" s="2106"/>
      <c r="AF10" s="2106"/>
      <c r="AG10" s="2106"/>
      <c r="AH10" s="2106"/>
      <c r="AI10" s="2106"/>
      <c r="AJ10" s="2097"/>
      <c r="AK10" s="294"/>
      <c r="AL10" s="294"/>
    </row>
    <row r="11" spans="1:38" ht="16.399999999999999" customHeight="1">
      <c r="A11" s="1400"/>
      <c r="B11" s="1400"/>
      <c r="C11" s="1400"/>
      <c r="D11" s="1398" t="s">
        <v>109</v>
      </c>
      <c r="E11" s="1398"/>
      <c r="F11" s="1402" t="s">
        <v>1578</v>
      </c>
      <c r="G11" s="1398"/>
      <c r="H11" s="1398" t="s">
        <v>109</v>
      </c>
      <c r="I11" s="1398"/>
      <c r="J11" s="1398" t="str">
        <f>F11</f>
        <v>11 MOS. ENDED</v>
      </c>
      <c r="K11" s="1398"/>
      <c r="L11" s="1398" t="s">
        <v>109</v>
      </c>
      <c r="M11" s="1398"/>
      <c r="N11" s="1398" t="str">
        <f>F11</f>
        <v>11 MOS. ENDED</v>
      </c>
      <c r="O11" s="1398"/>
      <c r="P11" s="1398" t="s">
        <v>109</v>
      </c>
      <c r="Q11" s="1398"/>
      <c r="R11" s="1398" t="str">
        <f>J11</f>
        <v>11 MOS. ENDED</v>
      </c>
      <c r="S11" s="1398"/>
      <c r="T11" s="1398"/>
      <c r="U11" s="1403"/>
      <c r="V11" s="1398" t="s">
        <v>109</v>
      </c>
      <c r="W11" s="1398"/>
      <c r="X11" s="1398" t="str">
        <f>F11</f>
        <v>11 MOS. ENDED</v>
      </c>
      <c r="Y11" s="1398"/>
      <c r="Z11" s="1398"/>
      <c r="AA11" s="1398"/>
      <c r="AB11" s="1398" t="s">
        <v>109</v>
      </c>
      <c r="AC11" s="1398"/>
      <c r="AD11" s="1398" t="str">
        <f>F11</f>
        <v>11 MOS. ENDED</v>
      </c>
      <c r="AE11" s="1398"/>
      <c r="AF11" s="1398"/>
      <c r="AG11" s="1398" t="s">
        <v>110</v>
      </c>
      <c r="AH11" s="1387"/>
      <c r="AI11" s="1398" t="s">
        <v>111</v>
      </c>
      <c r="AJ11" s="2097"/>
      <c r="AK11" s="294"/>
      <c r="AL11" s="294"/>
    </row>
    <row r="12" spans="1:38" ht="16.399999999999999" customHeight="1">
      <c r="A12" s="1400"/>
      <c r="B12" s="1400"/>
      <c r="C12" s="1400"/>
      <c r="D12" s="1908" t="s">
        <v>1576</v>
      </c>
      <c r="E12" s="1398"/>
      <c r="F12" s="1911" t="s">
        <v>1577</v>
      </c>
      <c r="G12" s="1398"/>
      <c r="H12" s="1405" t="str">
        <f>D12</f>
        <v>FEB. 2025</v>
      </c>
      <c r="I12" s="1398"/>
      <c r="J12" s="1405" t="str">
        <f>F12</f>
        <v>FEB. 28, 2025</v>
      </c>
      <c r="K12" s="1398"/>
      <c r="L12" s="1405" t="str">
        <f>D12</f>
        <v>FEB. 2025</v>
      </c>
      <c r="M12" s="1398"/>
      <c r="N12" s="1405" t="str">
        <f>F12</f>
        <v>FEB. 28, 2025</v>
      </c>
      <c r="O12" s="1398"/>
      <c r="P12" s="1405" t="str">
        <f>D12</f>
        <v>FEB. 2025</v>
      </c>
      <c r="Q12" s="1398"/>
      <c r="R12" s="1405" t="str">
        <f>J12</f>
        <v>FEB. 28, 2025</v>
      </c>
      <c r="S12" s="1398"/>
      <c r="T12" s="1398"/>
      <c r="U12" s="1403"/>
      <c r="V12" s="1405" t="str">
        <f>D12</f>
        <v>FEB. 2025</v>
      </c>
      <c r="W12" s="1398"/>
      <c r="X12" s="1405" t="str">
        <f>F12</f>
        <v>FEB. 28, 2025</v>
      </c>
      <c r="Y12" s="1398"/>
      <c r="Z12" s="1398"/>
      <c r="AA12" s="1398"/>
      <c r="AB12" s="1404" t="str">
        <f>_xlfn.CONCAT(_xlfn.TEXTBEFORE(D12," ")," ",RIGHT(D12,4)-1)</f>
        <v>FEB. 2024</v>
      </c>
      <c r="AC12" s="1398"/>
      <c r="AD12" s="2092" t="str">
        <f>UPPER(TEXT(DATE(YEAR(_xlfn.TEXTAFTER('Exh D Governmental  '!A6," ",4))-1,MONTH(_xlfn.TEXTAFTER('Exh D Governmental  '!A6," ",4)),DAY(_xlfn.TEXTAFTER('Exh D Governmental  '!A6," ",4)))+1,"MMM. dd, yyyy"))</f>
        <v>FEB. 29, 2024</v>
      </c>
      <c r="AE12" s="1402"/>
      <c r="AF12" s="1402"/>
      <c r="AG12" s="1405" t="s">
        <v>112</v>
      </c>
      <c r="AH12" s="1387"/>
      <c r="AI12" s="1404" t="s">
        <v>113</v>
      </c>
      <c r="AJ12" s="2097"/>
      <c r="AK12" s="294"/>
      <c r="AL12" s="294"/>
    </row>
    <row r="13" spans="1:38" ht="16.399999999999999" customHeight="1">
      <c r="A13" s="1399" t="s">
        <v>114</v>
      </c>
      <c r="B13" s="1400"/>
      <c r="C13" s="1400"/>
      <c r="D13" s="1400" t="s">
        <v>103</v>
      </c>
      <c r="E13" s="1400"/>
      <c r="F13" s="1400"/>
      <c r="G13" s="1400"/>
      <c r="H13" s="1400" t="s">
        <v>103</v>
      </c>
      <c r="I13" s="1400"/>
      <c r="J13" s="1400"/>
      <c r="K13" s="1400"/>
      <c r="L13" s="1400" t="s">
        <v>103</v>
      </c>
      <c r="M13" s="1400"/>
      <c r="N13" s="1400"/>
      <c r="O13" s="1400"/>
      <c r="P13" s="1400" t="s">
        <v>103</v>
      </c>
      <c r="Q13" s="1400"/>
      <c r="R13" s="1400"/>
      <c r="S13" s="1406"/>
      <c r="T13" s="1406"/>
      <c r="U13" s="1400"/>
      <c r="V13" s="1400"/>
      <c r="W13" s="1400"/>
      <c r="X13" s="1400"/>
      <c r="Y13" s="1406"/>
      <c r="Z13" s="1407"/>
      <c r="AA13" s="1400"/>
      <c r="AB13" s="1400"/>
      <c r="AC13" s="1400"/>
      <c r="AD13" s="1400"/>
      <c r="AE13" s="1400"/>
      <c r="AF13" s="1408"/>
      <c r="AG13" s="1400"/>
      <c r="AI13" s="1387"/>
      <c r="AJ13" s="2097"/>
      <c r="AK13" s="294"/>
      <c r="AL13" s="294"/>
    </row>
    <row r="14" spans="1:38" ht="18" customHeight="1">
      <c r="A14" s="1400" t="s">
        <v>115</v>
      </c>
      <c r="B14" s="1409" t="s">
        <v>1561</v>
      </c>
      <c r="C14" s="1400"/>
      <c r="D14" s="1410">
        <f>'Exhibit F'!X27</f>
        <v>3114.3</v>
      </c>
      <c r="E14" s="1411" t="s">
        <v>103</v>
      </c>
      <c r="F14" s="1410">
        <f>'Exhibit F'!AC27</f>
        <v>26591.599999999999</v>
      </c>
      <c r="G14" s="1411"/>
      <c r="H14" s="1410">
        <f>'Exhibit G'!X17</f>
        <v>0</v>
      </c>
      <c r="I14" s="1412"/>
      <c r="J14" s="1410">
        <f>'Exhibit G'!AE17</f>
        <v>1444.1</v>
      </c>
      <c r="K14" s="1411"/>
      <c r="L14" s="1413">
        <f>'Exhibit H'!V17</f>
        <v>3114.4000000000015</v>
      </c>
      <c r="M14" s="1410"/>
      <c r="N14" s="1410">
        <f>'Exhibit H'!AA17</f>
        <v>28035.7</v>
      </c>
      <c r="O14" s="1410"/>
      <c r="P14" s="1414">
        <v>0</v>
      </c>
      <c r="Q14" s="1410"/>
      <c r="R14" s="1414">
        <v>0</v>
      </c>
      <c r="S14" s="1415"/>
      <c r="T14" s="1415"/>
      <c r="U14" s="1410"/>
      <c r="V14" s="1410">
        <f>ROUND(SUM(D14)+SUM(H14)+SUM(L14)+SUM(P14),1)</f>
        <v>6228.7</v>
      </c>
      <c r="W14" s="1410" t="s">
        <v>103</v>
      </c>
      <c r="X14" s="1410">
        <f>ROUND(SUM(F14)+SUM(J14)+SUM(N14)+SUM(R14),1)</f>
        <v>56071.4</v>
      </c>
      <c r="Y14" s="1416"/>
      <c r="Z14" s="1417"/>
      <c r="AA14" s="1411"/>
      <c r="AB14" s="2062">
        <v>5009.6000000000004</v>
      </c>
      <c r="AC14" s="1411"/>
      <c r="AD14" s="1411">
        <f>'Exhibit F'!AF27+'Exhibit G'!AH17+'Exhibit H'!AD17</f>
        <v>49514.8</v>
      </c>
      <c r="AE14" s="1411"/>
      <c r="AF14" s="1418"/>
      <c r="AG14" s="1411">
        <f t="shared" ref="AG14:AG19" si="0">ROUND(SUM(X14-AD14),1)</f>
        <v>6556.6</v>
      </c>
      <c r="AH14" s="1419"/>
      <c r="AI14" s="1223">
        <f t="shared" ref="AI14:AI19" si="1">ROUND(SUM((+X14-AD14)/ABS(AD14)),3)</f>
        <v>0.13200000000000001</v>
      </c>
      <c r="AJ14" s="2098"/>
      <c r="AK14" s="294"/>
      <c r="AL14" s="294"/>
    </row>
    <row r="15" spans="1:38" ht="18" customHeight="1">
      <c r="A15" s="1400" t="s">
        <v>116</v>
      </c>
      <c r="B15" s="1420" t="s">
        <v>103</v>
      </c>
      <c r="C15" s="1400"/>
      <c r="D15" s="1379">
        <f>'Exhibit F'!X38</f>
        <v>717.4</v>
      </c>
      <c r="E15" s="1379"/>
      <c r="F15" s="1379">
        <f>'Exhibit F'!AC38</f>
        <v>9201.7999999999993</v>
      </c>
      <c r="G15" s="1379"/>
      <c r="H15" s="1379">
        <f>'Exhibit G'!X29</f>
        <v>138.1</v>
      </c>
      <c r="I15" s="1379"/>
      <c r="J15" s="1379">
        <f>'Exhibit G'!AE29</f>
        <v>2012.6</v>
      </c>
      <c r="K15" s="1379"/>
      <c r="L15" s="1224">
        <f>'Exhibit H'!V21</f>
        <v>686.8</v>
      </c>
      <c r="M15" s="1379"/>
      <c r="N15" s="1379">
        <f>'Exhibit H'!AA21</f>
        <v>8688.6</v>
      </c>
      <c r="O15" s="1379"/>
      <c r="P15" s="1224">
        <f>'Exhibit I'!Y21</f>
        <v>43.8</v>
      </c>
      <c r="Q15" s="1379"/>
      <c r="R15" s="1224">
        <f>'Exhibit I'!AF21</f>
        <v>569.4</v>
      </c>
      <c r="S15" s="1421"/>
      <c r="T15" s="1421"/>
      <c r="U15" s="1379"/>
      <c r="V15" s="1379">
        <f>ROUND(SUM(D15)+SUM(H15)+SUM(L15)+SUM(P15),1)</f>
        <v>1586.1</v>
      </c>
      <c r="W15" s="1379" t="s">
        <v>103</v>
      </c>
      <c r="X15" s="1379">
        <f t="shared" ref="X15:X19" si="2">ROUND(SUM(F15)+SUM(J15)+SUM(N15)+SUM(R15),1)</f>
        <v>20472.400000000001</v>
      </c>
      <c r="Y15" s="1421"/>
      <c r="Z15" s="1422"/>
      <c r="AA15" s="1379"/>
      <c r="AB15" s="1225">
        <v>1528.1999999999998</v>
      </c>
      <c r="AC15" s="1379"/>
      <c r="AD15" s="1342">
        <f>'Exhibit F'!AF38+'Exhibit G'!AH29+'Exhibit H'!AD21+'Exhibit I'!AI21</f>
        <v>19979.599999999999</v>
      </c>
      <c r="AE15" s="1379"/>
      <c r="AF15" s="1423"/>
      <c r="AG15" s="1379">
        <f t="shared" si="0"/>
        <v>492.8</v>
      </c>
      <c r="AI15" s="1223">
        <f t="shared" si="1"/>
        <v>2.5000000000000001E-2</v>
      </c>
      <c r="AJ15" s="2098"/>
      <c r="AK15" s="294"/>
      <c r="AL15" s="294"/>
    </row>
    <row r="16" spans="1:38" ht="18" customHeight="1">
      <c r="A16" s="1400" t="s">
        <v>117</v>
      </c>
      <c r="B16" s="1424"/>
      <c r="C16" s="1400"/>
      <c r="D16" s="1379">
        <f>'Exhibit F'!X46</f>
        <v>87.4</v>
      </c>
      <c r="E16" s="1379"/>
      <c r="F16" s="1379">
        <f>'Exhibit F'!AC46</f>
        <v>12830.1</v>
      </c>
      <c r="G16" s="1379"/>
      <c r="H16" s="1379">
        <f>'Exhibit G'!X36</f>
        <v>22.1</v>
      </c>
      <c r="I16" s="1379"/>
      <c r="J16" s="1379">
        <f>'Exhibit G'!AE36</f>
        <v>2222</v>
      </c>
      <c r="K16" s="1379"/>
      <c r="L16" s="1224">
        <f>'Exhibit H'!V24</f>
        <v>86.2</v>
      </c>
      <c r="M16" s="1379"/>
      <c r="N16" s="1224">
        <f>'Exhibit H'!AA24</f>
        <v>5760.1</v>
      </c>
      <c r="O16" s="1379"/>
      <c r="P16" s="1224">
        <f>'Exhibit I'!Y26</f>
        <v>46.6</v>
      </c>
      <c r="Q16" s="1379"/>
      <c r="R16" s="1224">
        <f>'Exhibit I'!AF26</f>
        <v>559.4</v>
      </c>
      <c r="S16" s="1421"/>
      <c r="T16" s="1421"/>
      <c r="U16" s="1379"/>
      <c r="V16" s="1379">
        <f t="shared" ref="V16:V17" si="3">ROUND(SUM(D16)+SUM(H16)+SUM(L16)+SUM(P16),1)</f>
        <v>242.3</v>
      </c>
      <c r="W16" s="1379" t="s">
        <v>103</v>
      </c>
      <c r="X16" s="1379">
        <f t="shared" si="2"/>
        <v>21371.599999999999</v>
      </c>
      <c r="Y16" s="1421"/>
      <c r="Z16" s="1422"/>
      <c r="AA16" s="1379"/>
      <c r="AB16" s="1225">
        <v>185.20000000000002</v>
      </c>
      <c r="AC16" s="1379"/>
      <c r="AD16" s="1400">
        <f>'Exhibit F'!AF46+'Exhibit G'!AH36+'Exhibit I'!AI26+'Exhibit H'!AD23</f>
        <v>19846.200000000004</v>
      </c>
      <c r="AE16" s="1379"/>
      <c r="AF16" s="1423"/>
      <c r="AG16" s="1379">
        <f t="shared" si="0"/>
        <v>1525.4</v>
      </c>
      <c r="AI16" s="1223">
        <f t="shared" si="1"/>
        <v>7.6999999999999999E-2</v>
      </c>
      <c r="AJ16" s="2098"/>
      <c r="AK16" s="294"/>
      <c r="AL16" s="294"/>
    </row>
    <row r="17" spans="1:38" ht="18" customHeight="1">
      <c r="A17" s="1400" t="s">
        <v>118</v>
      </c>
      <c r="B17" s="1420" t="s">
        <v>103</v>
      </c>
      <c r="C17" s="1400"/>
      <c r="D17" s="1379">
        <f>'Exhibit F'!X54</f>
        <v>95.6</v>
      </c>
      <c r="E17" s="1379"/>
      <c r="F17" s="1379">
        <f>'Exhibit F'!AC54</f>
        <v>1232.0999999999999</v>
      </c>
      <c r="G17" s="1379"/>
      <c r="H17" s="1379">
        <v>0</v>
      </c>
      <c r="I17" s="1379"/>
      <c r="J17" s="1379">
        <v>0</v>
      </c>
      <c r="K17" s="1379"/>
      <c r="L17" s="1224">
        <f>'Exhibit H'!V28</f>
        <v>80.099999999999994</v>
      </c>
      <c r="M17" s="1379"/>
      <c r="N17" s="1379">
        <f>'Exhibit H'!AA28</f>
        <v>937.4</v>
      </c>
      <c r="O17" s="1379"/>
      <c r="P17" s="1224">
        <f>'Exhibit I'!Y29</f>
        <v>25.7</v>
      </c>
      <c r="Q17" s="1379"/>
      <c r="R17" s="1224">
        <f>'Exhibit I'!AF29</f>
        <v>231.6</v>
      </c>
      <c r="S17" s="1421"/>
      <c r="T17" s="1421"/>
      <c r="U17" s="1379"/>
      <c r="V17" s="1379">
        <f t="shared" si="3"/>
        <v>201.4</v>
      </c>
      <c r="W17" s="1379" t="s">
        <v>103</v>
      </c>
      <c r="X17" s="1379">
        <f t="shared" si="2"/>
        <v>2401.1</v>
      </c>
      <c r="Y17" s="1421"/>
      <c r="Z17" s="1422"/>
      <c r="AA17" s="1379"/>
      <c r="AB17" s="1225">
        <v>181.6</v>
      </c>
      <c r="AC17" s="1379"/>
      <c r="AD17" s="1379">
        <f>'Exhibit F'!AF54+'Exhibit H'!AD28+'Exhibit I'!AI29</f>
        <v>2909.7</v>
      </c>
      <c r="AE17" s="1379"/>
      <c r="AF17" s="1423"/>
      <c r="AG17" s="1379">
        <f t="shared" si="0"/>
        <v>-508.6</v>
      </c>
      <c r="AI17" s="1223">
        <f t="shared" si="1"/>
        <v>-0.17499999999999999</v>
      </c>
      <c r="AJ17" s="2098"/>
      <c r="AK17" s="294"/>
      <c r="AL17" s="294"/>
    </row>
    <row r="18" spans="1:38" ht="18" customHeight="1">
      <c r="A18" s="1400" t="s">
        <v>119</v>
      </c>
      <c r="B18" s="1420" t="s">
        <v>103</v>
      </c>
      <c r="C18" s="1400"/>
      <c r="D18" s="1379">
        <f>'Exhibit F'!X97</f>
        <v>297.8</v>
      </c>
      <c r="E18" s="1379"/>
      <c r="F18" s="1379">
        <f>'Exhibit F'!AC97</f>
        <v>4193.8999999999996</v>
      </c>
      <c r="G18" s="1379"/>
      <c r="H18" s="1379">
        <f>'Exhibit G'!X82</f>
        <v>2171</v>
      </c>
      <c r="I18" s="1379"/>
      <c r="J18" s="1379">
        <f>'Exhibit G'!AE82</f>
        <v>21764</v>
      </c>
      <c r="K18" s="1379"/>
      <c r="L18" s="1224">
        <f>'Exhibit H'!V51</f>
        <v>39</v>
      </c>
      <c r="M18" s="1379"/>
      <c r="N18" s="1224">
        <f>'Exhibit H'!AA51</f>
        <v>521.4</v>
      </c>
      <c r="O18" s="1379"/>
      <c r="P18" s="1224">
        <f>'Exhibit I'!Y59</f>
        <v>106.7</v>
      </c>
      <c r="Q18" s="1379"/>
      <c r="R18" s="1379">
        <f>'Exhibit I'!AF59</f>
        <v>3685.9</v>
      </c>
      <c r="S18" s="1421"/>
      <c r="T18" s="1421"/>
      <c r="U18" s="1379"/>
      <c r="V18" s="1379">
        <f>ROUND(SUM(D18)+SUM(H18)+SUM(L18)+SUM(P18),1)</f>
        <v>2614.5</v>
      </c>
      <c r="W18" s="1379" t="s">
        <v>103</v>
      </c>
      <c r="X18" s="1379">
        <f t="shared" si="2"/>
        <v>30165.200000000001</v>
      </c>
      <c r="Y18" s="1421"/>
      <c r="Z18" s="1422"/>
      <c r="AA18" s="1379"/>
      <c r="AB18" s="1225">
        <v>2853.1</v>
      </c>
      <c r="AC18" s="1379"/>
      <c r="AD18" s="1379">
        <f>'Exhibit F'!AF97+'Exhibit G'!AH82+'Exhibit H'!AD51+'Exhibit I'!AI59</f>
        <v>29755.4</v>
      </c>
      <c r="AE18" s="1379"/>
      <c r="AF18" s="1423"/>
      <c r="AG18" s="1379">
        <f t="shared" si="0"/>
        <v>409.8</v>
      </c>
      <c r="AI18" s="1223">
        <f t="shared" si="1"/>
        <v>1.4E-2</v>
      </c>
      <c r="AJ18" s="2098"/>
      <c r="AK18" s="294"/>
      <c r="AL18" s="294"/>
    </row>
    <row r="19" spans="1:38" ht="18" customHeight="1">
      <c r="A19" s="1400" t="s">
        <v>120</v>
      </c>
      <c r="B19" s="1409" t="s">
        <v>1569</v>
      </c>
      <c r="C19" s="1400"/>
      <c r="D19" s="1379">
        <f>'Exhibit F'!X99</f>
        <v>0.20000000000027285</v>
      </c>
      <c r="E19" s="1379"/>
      <c r="F19" s="1379">
        <f>'Exhibit F'!AC99</f>
        <v>3649.9</v>
      </c>
      <c r="G19" s="1379"/>
      <c r="H19" s="1379">
        <f>'Exhibit G'!X84</f>
        <v>9782.1999999999971</v>
      </c>
      <c r="I19" s="1379"/>
      <c r="J19" s="1379">
        <f>'Exhibit G'!AE84</f>
        <v>84044.4</v>
      </c>
      <c r="K19" s="1379"/>
      <c r="L19" s="1224">
        <f>'Exhibit H'!V53</f>
        <v>1.3999999999999986</v>
      </c>
      <c r="M19" s="1379"/>
      <c r="N19" s="1379">
        <f>'Exhibit H'!AA53</f>
        <v>43.6</v>
      </c>
      <c r="O19" s="1379"/>
      <c r="P19" s="1224">
        <f>'Exhibit I'!Y61</f>
        <v>218.7000000000001</v>
      </c>
      <c r="Q19" s="1379"/>
      <c r="R19" s="1379">
        <f>'Exhibit I'!AF61</f>
        <v>2646.6</v>
      </c>
      <c r="S19" s="1421"/>
      <c r="T19" s="1421"/>
      <c r="U19" s="1379"/>
      <c r="V19" s="1379">
        <f>ROUND(SUM(D19)+SUM(H19)+SUM(L19)+SUM(P19),1)</f>
        <v>10002.5</v>
      </c>
      <c r="W19" s="1379" t="s">
        <v>103</v>
      </c>
      <c r="X19" s="1379">
        <f t="shared" si="2"/>
        <v>90384.5</v>
      </c>
      <c r="Y19" s="1421"/>
      <c r="Z19" s="1422"/>
      <c r="AA19" s="1379"/>
      <c r="AB19" s="1225">
        <v>6794.9000000000005</v>
      </c>
      <c r="AC19" s="1379"/>
      <c r="AD19" s="1379">
        <f>'Exhibit F'!AF99+'Exhibit G'!AH84+'Exhibit H'!AD53+'Exhibit I'!AI61</f>
        <v>87137.300000000017</v>
      </c>
      <c r="AE19" s="1379"/>
      <c r="AF19" s="1423"/>
      <c r="AG19" s="1379">
        <f t="shared" si="0"/>
        <v>3247.2</v>
      </c>
      <c r="AI19" s="1223">
        <f t="shared" si="1"/>
        <v>3.6999999999999998E-2</v>
      </c>
      <c r="AJ19" s="2098"/>
      <c r="AK19" s="294"/>
      <c r="AL19" s="294"/>
    </row>
    <row r="20" spans="1:38" ht="18" customHeight="1">
      <c r="A20" s="1399" t="s">
        <v>121</v>
      </c>
      <c r="B20" s="1400"/>
      <c r="C20" s="1400"/>
      <c r="D20" s="1425">
        <f>ROUND(SUM(D14:D19),1)</f>
        <v>4312.7</v>
      </c>
      <c r="E20" s="1426"/>
      <c r="F20" s="1425">
        <f>ROUND(SUM(F14:F19),1)</f>
        <v>57699.4</v>
      </c>
      <c r="G20" s="1427"/>
      <c r="H20" s="1428">
        <f>ROUND(SUM(H14:H19),1)</f>
        <v>12113.4</v>
      </c>
      <c r="I20" s="1427"/>
      <c r="J20" s="1428">
        <f>ROUND(SUM(J14:J19),1)</f>
        <v>111487.1</v>
      </c>
      <c r="K20" s="1427"/>
      <c r="L20" s="1425">
        <f>ROUND(SUM(L14:L19),1)</f>
        <v>4007.9</v>
      </c>
      <c r="M20" s="1427"/>
      <c r="N20" s="1428">
        <f>ROUND(SUM(N14:N19),1)</f>
        <v>43986.8</v>
      </c>
      <c r="O20" s="1427"/>
      <c r="P20" s="1428">
        <f>ROUND(SUM(P14:P19),1)</f>
        <v>441.5</v>
      </c>
      <c r="Q20" s="1427"/>
      <c r="R20" s="1428">
        <f>ROUND(SUM(R14:R19),1)</f>
        <v>7692.9</v>
      </c>
      <c r="S20" s="1429"/>
      <c r="T20" s="1429"/>
      <c r="U20" s="1427"/>
      <c r="V20" s="1428">
        <f>ROUND(SUM(V14:V19),1)</f>
        <v>20875.5</v>
      </c>
      <c r="W20" s="1427"/>
      <c r="X20" s="1428">
        <f>ROUND(SUM(X14:X19),1)</f>
        <v>220866.2</v>
      </c>
      <c r="Y20" s="1429"/>
      <c r="Z20" s="1430"/>
      <c r="AA20" s="1427"/>
      <c r="AB20" s="1428">
        <f>ROUND(SUM(AB14:AB19),1)</f>
        <v>16552.599999999999</v>
      </c>
      <c r="AC20" s="1427"/>
      <c r="AD20" s="1428">
        <f>ROUND(SUM(AD14:AD19),1)</f>
        <v>209143</v>
      </c>
      <c r="AE20" s="1427"/>
      <c r="AF20" s="1431"/>
      <c r="AG20" s="1428">
        <f>ROUND(SUM(AG14:AG19),1)</f>
        <v>11723.2</v>
      </c>
      <c r="AH20" s="1432"/>
      <c r="AI20" s="1433">
        <f>(+X20-AD20)/ABS(AD20)</f>
        <v>5.605351362464922E-2</v>
      </c>
      <c r="AJ20" s="2099"/>
      <c r="AK20" s="294"/>
      <c r="AL20" s="294"/>
    </row>
    <row r="21" spans="1:38" ht="16.399999999999999" customHeight="1">
      <c r="A21" s="1399"/>
      <c r="B21" s="1400"/>
      <c r="C21" s="1400"/>
      <c r="D21" s="1379"/>
      <c r="E21" s="1379"/>
      <c r="F21" s="1379"/>
      <c r="G21" s="1379"/>
      <c r="H21" s="1379"/>
      <c r="I21" s="1379"/>
      <c r="J21" s="1379"/>
      <c r="K21" s="1379"/>
      <c r="L21" s="1379"/>
      <c r="M21" s="1379"/>
      <c r="N21" s="1379"/>
      <c r="O21" s="1379"/>
      <c r="P21" s="1379"/>
      <c r="Q21" s="1379"/>
      <c r="R21" s="1379" t="s">
        <v>103</v>
      </c>
      <c r="S21" s="1421"/>
      <c r="T21" s="1421"/>
      <c r="U21" s="1379"/>
      <c r="V21" s="1379"/>
      <c r="W21" s="1379"/>
      <c r="X21" s="1379" t="s">
        <v>103</v>
      </c>
      <c r="Y21" s="1421"/>
      <c r="Z21" s="1422"/>
      <c r="AA21" s="1379"/>
      <c r="AB21" s="1379"/>
      <c r="AC21" s="1379"/>
      <c r="AD21" s="1379"/>
      <c r="AE21" s="1379"/>
      <c r="AF21" s="1423"/>
      <c r="AG21" s="1379"/>
      <c r="AI21" s="1387"/>
      <c r="AJ21" s="2098"/>
      <c r="AK21" s="294"/>
      <c r="AL21" s="294"/>
    </row>
    <row r="22" spans="1:38" ht="16.399999999999999" customHeight="1">
      <c r="A22" s="1399" t="s">
        <v>122</v>
      </c>
      <c r="B22" s="1400"/>
      <c r="C22" s="1400"/>
      <c r="D22" s="1379"/>
      <c r="E22" s="1379"/>
      <c r="F22" s="1379"/>
      <c r="G22" s="1379"/>
      <c r="H22" s="1379"/>
      <c r="I22" s="1379"/>
      <c r="J22" s="1379"/>
      <c r="K22" s="1379"/>
      <c r="L22" s="1379"/>
      <c r="M22" s="1379"/>
      <c r="N22" s="1379"/>
      <c r="O22" s="1379"/>
      <c r="P22" s="1379"/>
      <c r="Q22" s="1379"/>
      <c r="R22" s="1379" t="s">
        <v>103</v>
      </c>
      <c r="S22" s="1421"/>
      <c r="T22" s="1421"/>
      <c r="U22" s="1379"/>
      <c r="V22" s="1379"/>
      <c r="W22" s="1379"/>
      <c r="X22" s="1379" t="s">
        <v>103</v>
      </c>
      <c r="Y22" s="1421"/>
      <c r="Z22" s="1422"/>
      <c r="AA22" s="1379"/>
      <c r="AB22" s="1379"/>
      <c r="AC22" s="1379"/>
      <c r="AD22" s="1379"/>
      <c r="AE22" s="1379"/>
      <c r="AF22" s="1423"/>
      <c r="AG22" s="1379"/>
      <c r="AI22" s="1387"/>
      <c r="AJ22" s="2098"/>
      <c r="AK22" s="294"/>
      <c r="AL22" s="294"/>
    </row>
    <row r="23" spans="1:38" ht="16.399999999999999" customHeight="1">
      <c r="A23" s="1400" t="s">
        <v>123</v>
      </c>
      <c r="B23" s="1409" t="s">
        <v>103</v>
      </c>
      <c r="C23" s="1400"/>
      <c r="D23" s="1434" t="s">
        <v>103</v>
      </c>
      <c r="E23" s="1379"/>
      <c r="F23" s="1434" t="s">
        <v>103</v>
      </c>
      <c r="G23" s="1379"/>
      <c r="H23" s="1435"/>
      <c r="I23" s="1379"/>
      <c r="J23" s="1435"/>
      <c r="K23" s="1379"/>
      <c r="L23" s="1435"/>
      <c r="M23" s="1379"/>
      <c r="N23" s="1435"/>
      <c r="O23" s="1379"/>
      <c r="P23" s="1435"/>
      <c r="Q23" s="1379"/>
      <c r="R23" s="1435"/>
      <c r="S23" s="1421"/>
      <c r="T23" s="1421"/>
      <c r="U23" s="1379"/>
      <c r="V23" s="1435"/>
      <c r="W23" s="1379"/>
      <c r="X23" s="1435"/>
      <c r="Y23" s="1421"/>
      <c r="Z23" s="1422"/>
      <c r="AA23" s="1379"/>
      <c r="AB23" s="1435"/>
      <c r="AC23" s="1379"/>
      <c r="AD23" s="1435"/>
      <c r="AE23" s="1379"/>
      <c r="AF23" s="1423"/>
      <c r="AG23" s="1435"/>
      <c r="AI23" s="1436"/>
      <c r="AJ23" s="2098"/>
      <c r="AK23" s="294"/>
      <c r="AL23" s="294"/>
    </row>
    <row r="24" spans="1:38" ht="18" customHeight="1">
      <c r="A24" s="1437" t="s">
        <v>124</v>
      </c>
      <c r="B24" s="1400"/>
      <c r="C24" s="1400"/>
      <c r="D24" s="1438">
        <f>'Exhibit F'!X105</f>
        <v>1681.2000000000007</v>
      </c>
      <c r="E24" s="1379"/>
      <c r="F24" s="1379">
        <f>'Exhibit F'!AC105</f>
        <v>24198.3</v>
      </c>
      <c r="G24" s="1379"/>
      <c r="H24" s="1224">
        <f>'Exhibit G'!X90</f>
        <v>487.70000000000073</v>
      </c>
      <c r="I24" s="1379"/>
      <c r="J24" s="1379">
        <f>'Exhibit G'!AE90</f>
        <v>14074.7</v>
      </c>
      <c r="K24" s="1379"/>
      <c r="L24" s="1435">
        <v>0</v>
      </c>
      <c r="M24" s="1379"/>
      <c r="N24" s="1435">
        <v>0</v>
      </c>
      <c r="O24" s="1379"/>
      <c r="P24" s="1224">
        <f>'Exhibit I'!Y67</f>
        <v>25.800000000000011</v>
      </c>
      <c r="Q24" s="1224"/>
      <c r="R24" s="1379">
        <f>'Exhibit I'!AF67</f>
        <v>339.2</v>
      </c>
      <c r="S24" s="1421"/>
      <c r="T24" s="1421"/>
      <c r="U24" s="1379"/>
      <c r="V24" s="1379">
        <f>ROUND(SUM(D24)+SUM(H24)+SUM(L24)+SUM(P24),1)</f>
        <v>2194.6999999999998</v>
      </c>
      <c r="W24" s="1379" t="s">
        <v>103</v>
      </c>
      <c r="X24" s="1379">
        <f>ROUND(SUM(F24)+SUM(J24)+SUM(N24)+SUM(R24),1)</f>
        <v>38612.199999999997</v>
      </c>
      <c r="Y24" s="1421"/>
      <c r="Z24" s="1422"/>
      <c r="AA24" s="1379"/>
      <c r="AB24" s="1225">
        <v>2297.6999999999998</v>
      </c>
      <c r="AC24" s="1379"/>
      <c r="AD24" s="1379">
        <f>'Exhibit F'!AF105+'Exhibit G'!AH90+'Exhibit I'!AI67</f>
        <v>37105.699999999997</v>
      </c>
      <c r="AE24" s="1224"/>
      <c r="AF24" s="1439"/>
      <c r="AG24" s="1379">
        <f>ROUND(SUM(X24-AD24),1)</f>
        <v>1506.5</v>
      </c>
      <c r="AI24" s="1223">
        <f>ROUND(SUM((+X24-AD24)/ABS(AD24)),3)</f>
        <v>4.1000000000000002E-2</v>
      </c>
      <c r="AJ24" s="2098"/>
      <c r="AK24" s="294"/>
      <c r="AL24" s="294"/>
    </row>
    <row r="25" spans="1:38" ht="18" customHeight="1">
      <c r="A25" s="1437" t="s">
        <v>125</v>
      </c>
      <c r="B25" s="1440"/>
      <c r="C25" s="1400"/>
      <c r="D25" s="1438">
        <f>'Exhibit F'!X106</f>
        <v>0.39999999999999947</v>
      </c>
      <c r="E25" s="1379"/>
      <c r="F25" s="1379">
        <f>'Exhibit F'!AC106</f>
        <v>4.5999999999999996</v>
      </c>
      <c r="G25" s="1379"/>
      <c r="H25" s="1224">
        <f>'Exhibit G'!X91</f>
        <v>0.29999999999999982</v>
      </c>
      <c r="I25" s="1379"/>
      <c r="J25" s="1379">
        <f>'Exhibit G'!AE91</f>
        <v>8.8000000000000007</v>
      </c>
      <c r="K25" s="1379"/>
      <c r="L25" s="1435">
        <v>0</v>
      </c>
      <c r="M25" s="1379"/>
      <c r="N25" s="1435">
        <v>0</v>
      </c>
      <c r="O25" s="1379"/>
      <c r="P25" s="1224">
        <f>'Exhibit I'!Y68</f>
        <v>41.600000000000023</v>
      </c>
      <c r="Q25" s="1224"/>
      <c r="R25" s="1379">
        <f>'Exhibit I'!AF68</f>
        <v>818</v>
      </c>
      <c r="S25" s="1421"/>
      <c r="T25" s="1421"/>
      <c r="U25" s="1379"/>
      <c r="V25" s="1379">
        <f t="shared" ref="V25:V32" si="4">ROUND(SUM(D25)+SUM(H25)+SUM(L25)+SUM(P25),1)</f>
        <v>42.3</v>
      </c>
      <c r="W25" s="1379" t="s">
        <v>103</v>
      </c>
      <c r="X25" s="1379">
        <f t="shared" ref="X25:X32" si="5">ROUND(SUM(F25)+SUM(J25)+SUM(N25)+SUM(R25),1)</f>
        <v>831.4</v>
      </c>
      <c r="Y25" s="1421"/>
      <c r="Z25" s="1422"/>
      <c r="AA25" s="1379"/>
      <c r="AB25" s="1225">
        <v>22.7</v>
      </c>
      <c r="AC25" s="1224"/>
      <c r="AD25" s="1379">
        <f>'Exhibit F'!AF106+'Exhibit G'!AH91+'Exhibit I'!AI68</f>
        <v>775.4</v>
      </c>
      <c r="AE25" s="1379"/>
      <c r="AF25" s="1423"/>
      <c r="AG25" s="1379">
        <f t="shared" ref="AG25:AG33" si="6">ROUND(SUM(X25-AD25),1)</f>
        <v>56</v>
      </c>
      <c r="AI25" s="1441">
        <f t="shared" ref="AI25:AI32" si="7">ROUND(SUM((+X25-AD25)/ABS(AD25)),3)</f>
        <v>7.1999999999999995E-2</v>
      </c>
      <c r="AJ25" s="2098"/>
      <c r="AK25" s="294"/>
      <c r="AL25" s="294"/>
    </row>
    <row r="26" spans="1:38" ht="18" customHeight="1">
      <c r="A26" s="1437" t="s">
        <v>126</v>
      </c>
      <c r="B26" s="1442"/>
      <c r="C26" s="1400"/>
      <c r="D26" s="1438">
        <f>'Exhibit F'!X107</f>
        <v>38.5</v>
      </c>
      <c r="E26" s="1379"/>
      <c r="F26" s="1379">
        <f>'Exhibit F'!AC107</f>
        <v>1062.5</v>
      </c>
      <c r="G26" s="1379"/>
      <c r="H26" s="1224">
        <f>'Exhibit G'!X92</f>
        <v>34.9</v>
      </c>
      <c r="I26" s="1379"/>
      <c r="J26" s="1379">
        <f>'Exhibit G'!AE92</f>
        <v>273.2</v>
      </c>
      <c r="K26" s="1379"/>
      <c r="L26" s="1435">
        <v>0</v>
      </c>
      <c r="M26" s="1379"/>
      <c r="N26" s="1435">
        <v>0</v>
      </c>
      <c r="O26" s="1379"/>
      <c r="P26" s="1224">
        <f>'Exhibit I'!Y69</f>
        <v>40.500000000000057</v>
      </c>
      <c r="Q26" s="1224"/>
      <c r="R26" s="1379">
        <f>'Exhibit I'!AF69</f>
        <v>548.20000000000005</v>
      </c>
      <c r="S26" s="1421"/>
      <c r="T26" s="1421"/>
      <c r="U26" s="1379"/>
      <c r="V26" s="1379">
        <f t="shared" si="4"/>
        <v>113.9</v>
      </c>
      <c r="W26" s="1379" t="s">
        <v>103</v>
      </c>
      <c r="X26" s="1379">
        <f t="shared" si="5"/>
        <v>1883.9</v>
      </c>
      <c r="Y26" s="1421"/>
      <c r="Z26" s="1422"/>
      <c r="AA26" s="1379"/>
      <c r="AB26" s="1225">
        <v>76.400000000000006</v>
      </c>
      <c r="AC26" s="1379"/>
      <c r="AD26" s="1379">
        <f>'Exhibit F'!AF107+'Exhibit G'!AH92+'Exhibit I'!AI69</f>
        <v>1824</v>
      </c>
      <c r="AE26" s="1379"/>
      <c r="AF26" s="1423"/>
      <c r="AG26" s="1379">
        <f t="shared" si="6"/>
        <v>59.9</v>
      </c>
      <c r="AI26" s="1223">
        <f t="shared" si="7"/>
        <v>3.3000000000000002E-2</v>
      </c>
      <c r="AJ26" s="2098"/>
      <c r="AK26" s="294"/>
      <c r="AL26" s="294"/>
    </row>
    <row r="27" spans="1:38" ht="18" customHeight="1">
      <c r="A27" s="1437" t="s">
        <v>127</v>
      </c>
      <c r="B27" s="1409"/>
      <c r="C27" s="1400"/>
      <c r="D27" s="1379"/>
      <c r="E27" s="1379"/>
      <c r="F27" s="1379"/>
      <c r="G27" s="1379"/>
      <c r="H27" s="1224"/>
      <c r="I27" s="1379"/>
      <c r="J27" s="1379" t="s">
        <v>103</v>
      </c>
      <c r="K27" s="1379"/>
      <c r="L27" s="1434" t="s">
        <v>103</v>
      </c>
      <c r="M27" s="1379"/>
      <c r="N27" s="1434" t="s">
        <v>103</v>
      </c>
      <c r="O27" s="1379"/>
      <c r="P27" s="1224"/>
      <c r="Q27" s="1224"/>
      <c r="R27" s="1379"/>
      <c r="S27" s="1421"/>
      <c r="T27" s="1421"/>
      <c r="U27" s="1379"/>
      <c r="V27" s="1379" t="s">
        <v>103</v>
      </c>
      <c r="W27" s="1379"/>
      <c r="X27" s="1379" t="s">
        <v>103</v>
      </c>
      <c r="Y27" s="1421"/>
      <c r="Z27" s="1422"/>
      <c r="AA27" s="1379"/>
      <c r="AB27" s="1379"/>
      <c r="AC27" s="1379"/>
      <c r="AD27" s="1379"/>
      <c r="AE27" s="1379"/>
      <c r="AF27" s="1423"/>
      <c r="AG27" s="1379"/>
      <c r="AI27" s="1223" t="s">
        <v>103</v>
      </c>
      <c r="AJ27" s="2098"/>
      <c r="AK27" s="294"/>
      <c r="AL27" s="294"/>
    </row>
    <row r="28" spans="1:38" ht="18" customHeight="1">
      <c r="A28" s="1443" t="s">
        <v>128</v>
      </c>
      <c r="B28" s="1420"/>
      <c r="C28" s="1400"/>
      <c r="D28" s="1438">
        <f>'Exhibit F'!X109</f>
        <v>1821.4000000000015</v>
      </c>
      <c r="E28" s="1379"/>
      <c r="F28" s="1379">
        <f>'Exhibit F'!AC109</f>
        <v>27151.5</v>
      </c>
      <c r="G28" s="1379"/>
      <c r="H28" s="1224">
        <f>'Exhibit G'!X94</f>
        <v>5732.1</v>
      </c>
      <c r="I28" s="1379"/>
      <c r="J28" s="1379">
        <f>'Exhibit G'!AE94</f>
        <v>53767.199999999997</v>
      </c>
      <c r="K28" s="1379"/>
      <c r="L28" s="1435">
        <v>0</v>
      </c>
      <c r="M28" s="1379"/>
      <c r="N28" s="1435">
        <v>0</v>
      </c>
      <c r="O28" s="1379"/>
      <c r="P28" s="1224">
        <f>'Exhibit I'!Y71</f>
        <v>0</v>
      </c>
      <c r="Q28" s="1224"/>
      <c r="R28" s="1435">
        <f>'Exhibit I'!AF71</f>
        <v>0</v>
      </c>
      <c r="S28" s="1421"/>
      <c r="T28" s="1421"/>
      <c r="U28" s="1379"/>
      <c r="V28" s="1379">
        <f t="shared" si="4"/>
        <v>7553.5</v>
      </c>
      <c r="W28" s="1379" t="s">
        <v>103</v>
      </c>
      <c r="X28" s="1379">
        <f t="shared" si="5"/>
        <v>80918.7</v>
      </c>
      <c r="Y28" s="1421"/>
      <c r="Z28" s="1422"/>
      <c r="AA28" s="1379"/>
      <c r="AB28" s="1225">
        <v>6637.3</v>
      </c>
      <c r="AC28" s="1379"/>
      <c r="AD28" s="1379">
        <f>'Exhibit F'!AF109+'Exhibit G'!AH94+'Exhibit I'!AI71</f>
        <v>79909.299999999988</v>
      </c>
      <c r="AE28" s="1379"/>
      <c r="AF28" s="1423"/>
      <c r="AG28" s="1379">
        <f t="shared" si="6"/>
        <v>1009.4</v>
      </c>
      <c r="AI28" s="1223">
        <f t="shared" si="7"/>
        <v>1.2999999999999999E-2</v>
      </c>
      <c r="AJ28" s="2098"/>
      <c r="AK28" s="1444"/>
      <c r="AL28" s="294"/>
    </row>
    <row r="29" spans="1:38" ht="18" customHeight="1">
      <c r="A29" s="1437" t="s">
        <v>129</v>
      </c>
      <c r="B29" s="1420"/>
      <c r="C29" s="1400"/>
      <c r="D29" s="1438">
        <f>'Exhibit F'!X110</f>
        <v>239.5</v>
      </c>
      <c r="E29" s="1379"/>
      <c r="F29" s="1379">
        <f>'Exhibit F'!AC110</f>
        <v>2780.8</v>
      </c>
      <c r="G29" s="1379"/>
      <c r="H29" s="1224">
        <f>'Exhibit G'!X95</f>
        <v>1433.3000000000002</v>
      </c>
      <c r="I29" s="1379"/>
      <c r="J29" s="1379">
        <f>'Exhibit G'!AE95</f>
        <v>16039.5</v>
      </c>
      <c r="K29" s="1379"/>
      <c r="L29" s="1435">
        <v>0</v>
      </c>
      <c r="M29" s="1379"/>
      <c r="N29" s="1435">
        <v>0</v>
      </c>
      <c r="O29" s="1379"/>
      <c r="P29" s="1224">
        <f>'Exhibit I'!Y72</f>
        <v>32.600000000000023</v>
      </c>
      <c r="Q29" s="1224"/>
      <c r="R29" s="1379">
        <f>'Exhibit I'!AF72</f>
        <v>413.9</v>
      </c>
      <c r="S29" s="1421"/>
      <c r="T29" s="1421"/>
      <c r="U29" s="1379"/>
      <c r="V29" s="1379">
        <f t="shared" si="4"/>
        <v>1705.4</v>
      </c>
      <c r="W29" s="1379" t="s">
        <v>103</v>
      </c>
      <c r="X29" s="1379">
        <f t="shared" si="5"/>
        <v>19234.2</v>
      </c>
      <c r="Y29" s="1421"/>
      <c r="Z29" s="1422"/>
      <c r="AA29" s="1379"/>
      <c r="AB29" s="1225">
        <v>1308.4000000000001</v>
      </c>
      <c r="AC29" s="1379"/>
      <c r="AD29" s="1379">
        <f>'Exhibit F'!AF110+'Exhibit G'!AH95+'Exhibit I'!AI72</f>
        <v>15320.500000000002</v>
      </c>
      <c r="AE29" s="1379"/>
      <c r="AF29" s="1423"/>
      <c r="AG29" s="1379">
        <f t="shared" si="6"/>
        <v>3913.7</v>
      </c>
      <c r="AI29" s="1223">
        <f t="shared" si="7"/>
        <v>0.255</v>
      </c>
      <c r="AJ29" s="2098"/>
      <c r="AK29" s="294"/>
      <c r="AL29" s="294"/>
    </row>
    <row r="30" spans="1:38" ht="18" customHeight="1">
      <c r="A30" s="1437" t="s">
        <v>130</v>
      </c>
      <c r="B30" s="1409"/>
      <c r="C30" s="1400"/>
      <c r="D30" s="1438">
        <f>'Exhibit F'!X111</f>
        <v>40.199999999999989</v>
      </c>
      <c r="E30" s="1379"/>
      <c r="F30" s="1379">
        <f>'Exhibit F'!AC111</f>
        <v>453.5</v>
      </c>
      <c r="G30" s="1379"/>
      <c r="H30" s="1224">
        <f>'Exhibit G'!X96</f>
        <v>273.40000000000003</v>
      </c>
      <c r="I30" s="1379"/>
      <c r="J30" s="1379">
        <f>'Exhibit G'!AE96</f>
        <v>4144.8999999999996</v>
      </c>
      <c r="K30" s="1379"/>
      <c r="L30" s="1435">
        <v>0</v>
      </c>
      <c r="M30" s="1379"/>
      <c r="N30" s="1435">
        <v>0</v>
      </c>
      <c r="O30" s="1379"/>
      <c r="P30" s="1224">
        <f>'Exhibit I'!Y73</f>
        <v>0.5</v>
      </c>
      <c r="Q30" s="1224"/>
      <c r="R30" s="1435">
        <f>'Exhibit I'!AF73</f>
        <v>15.8</v>
      </c>
      <c r="S30" s="1421"/>
      <c r="T30" s="1421"/>
      <c r="U30" s="1379"/>
      <c r="V30" s="1379">
        <f t="shared" si="4"/>
        <v>314.10000000000002</v>
      </c>
      <c r="W30" s="1379" t="s">
        <v>103</v>
      </c>
      <c r="X30" s="1379">
        <f t="shared" si="5"/>
        <v>4614.2</v>
      </c>
      <c r="Y30" s="1421"/>
      <c r="Z30" s="1422"/>
      <c r="AA30" s="1379"/>
      <c r="AB30" s="1225">
        <v>141.29999999999998</v>
      </c>
      <c r="AC30" s="1379"/>
      <c r="AD30" s="1379">
        <f>'Exhibit F'!AF111+'Exhibit G'!AH96+'Exhibit I'!AI73</f>
        <v>4927.8</v>
      </c>
      <c r="AE30" s="1379"/>
      <c r="AF30" s="1423"/>
      <c r="AG30" s="1379">
        <f t="shared" si="6"/>
        <v>-313.60000000000002</v>
      </c>
      <c r="AI30" s="1441">
        <f t="shared" si="7"/>
        <v>-6.4000000000000001E-2</v>
      </c>
      <c r="AJ30" s="2098"/>
      <c r="AK30" s="294"/>
      <c r="AL30" s="294"/>
    </row>
    <row r="31" spans="1:38" ht="18" customHeight="1">
      <c r="A31" s="1437" t="s">
        <v>131</v>
      </c>
      <c r="B31" s="1400"/>
      <c r="C31" s="1400"/>
      <c r="D31" s="1438">
        <f>'Exhibit F'!X112</f>
        <v>210.90000000000055</v>
      </c>
      <c r="E31" s="1379"/>
      <c r="F31" s="1379">
        <f>'Exhibit F'!AC112</f>
        <v>4575.1000000000004</v>
      </c>
      <c r="G31" s="1379"/>
      <c r="H31" s="1224">
        <f>'Exhibit G'!X97</f>
        <v>451.89999999999981</v>
      </c>
      <c r="I31" s="1379"/>
      <c r="J31" s="1379">
        <f>'Exhibit G'!AE97</f>
        <v>5388.1</v>
      </c>
      <c r="K31" s="1379"/>
      <c r="L31" s="1435">
        <v>0</v>
      </c>
      <c r="M31" s="1379"/>
      <c r="N31" s="1435">
        <v>0</v>
      </c>
      <c r="O31" s="1379"/>
      <c r="P31" s="1224">
        <f>'Exhibit I'!Y74</f>
        <v>69.299999999999955</v>
      </c>
      <c r="Q31" s="1224"/>
      <c r="R31" s="1379">
        <f>'Exhibit I'!AF74</f>
        <v>1489.5</v>
      </c>
      <c r="S31" s="1421"/>
      <c r="T31" s="1421"/>
      <c r="U31" s="1379"/>
      <c r="V31" s="1379">
        <f t="shared" si="4"/>
        <v>732.1</v>
      </c>
      <c r="W31" s="1379" t="s">
        <v>103</v>
      </c>
      <c r="X31" s="1379">
        <f t="shared" si="5"/>
        <v>11452.7</v>
      </c>
      <c r="Y31" s="1421"/>
      <c r="Z31" s="1422"/>
      <c r="AA31" s="1379"/>
      <c r="AB31" s="1225">
        <v>1242.2</v>
      </c>
      <c r="AC31" s="1379"/>
      <c r="AD31" s="1379">
        <f>'Exhibit F'!AF112+'Exhibit G'!AH97+'Exhibit I'!AI74</f>
        <v>10211.200000000001</v>
      </c>
      <c r="AE31" s="1379"/>
      <c r="AF31" s="1423"/>
      <c r="AG31" s="1379">
        <f t="shared" si="6"/>
        <v>1241.5</v>
      </c>
      <c r="AI31" s="1223">
        <f t="shared" si="7"/>
        <v>0.122</v>
      </c>
      <c r="AJ31" s="2098"/>
      <c r="AK31" s="294"/>
      <c r="AL31" s="294"/>
    </row>
    <row r="32" spans="1:38" ht="18" customHeight="1">
      <c r="A32" s="1437" t="s">
        <v>132</v>
      </c>
      <c r="B32" s="1409"/>
      <c r="C32" s="1400"/>
      <c r="D32" s="1438">
        <f>'Exhibit F'!X113</f>
        <v>18.299999999999983</v>
      </c>
      <c r="E32" s="1379"/>
      <c r="F32" s="1379">
        <f>'Exhibit F'!AC113</f>
        <v>215.7</v>
      </c>
      <c r="G32" s="1379"/>
      <c r="H32" s="1224">
        <f>'Exhibit G'!X98</f>
        <v>9.5</v>
      </c>
      <c r="I32" s="1379"/>
      <c r="J32" s="1379">
        <f>'Exhibit G'!AE98</f>
        <v>70.7</v>
      </c>
      <c r="K32" s="1379"/>
      <c r="L32" s="1435">
        <v>0</v>
      </c>
      <c r="M32" s="1379" t="s">
        <v>103</v>
      </c>
      <c r="N32" s="1435">
        <v>0</v>
      </c>
      <c r="O32" s="1379"/>
      <c r="P32" s="1224">
        <f>'Exhibit I'!Y75</f>
        <v>50</v>
      </c>
      <c r="Q32" s="1224"/>
      <c r="R32" s="1379">
        <f>'Exhibit I'!AF75</f>
        <v>1353.3</v>
      </c>
      <c r="S32" s="1421"/>
      <c r="T32" s="1421"/>
      <c r="U32" s="1379"/>
      <c r="V32" s="1379">
        <f t="shared" si="4"/>
        <v>77.8</v>
      </c>
      <c r="W32" s="1379" t="s">
        <v>103</v>
      </c>
      <c r="X32" s="1379">
        <f t="shared" si="5"/>
        <v>1639.7</v>
      </c>
      <c r="Y32" s="1421"/>
      <c r="Z32" s="1422"/>
      <c r="AA32" s="1379"/>
      <c r="AB32" s="1225">
        <v>98.7</v>
      </c>
      <c r="AC32" s="1379"/>
      <c r="AD32" s="1379">
        <f>'Exhibit F'!AF113+'Exhibit G'!AH98+'Exhibit I'!AI75</f>
        <v>1300.8999999999999</v>
      </c>
      <c r="AE32" s="1379"/>
      <c r="AF32" s="1423"/>
      <c r="AG32" s="1379">
        <f t="shared" si="6"/>
        <v>338.8</v>
      </c>
      <c r="AI32" s="1223">
        <f t="shared" si="7"/>
        <v>0.26</v>
      </c>
      <c r="AJ32" s="2098"/>
      <c r="AK32" s="294"/>
      <c r="AL32" s="294"/>
    </row>
    <row r="33" spans="1:38" ht="18" customHeight="1">
      <c r="A33" s="1437" t="s">
        <v>133</v>
      </c>
      <c r="B33" s="1400"/>
      <c r="C33" s="1400"/>
      <c r="D33" s="1438">
        <f>'Exhibit F'!X114</f>
        <v>36.799999999999983</v>
      </c>
      <c r="E33" s="1379"/>
      <c r="F33" s="1379">
        <f>'Exhibit F'!AC114</f>
        <v>247.7</v>
      </c>
      <c r="G33" s="1379"/>
      <c r="H33" s="1224">
        <f>'Exhibit G'!X99</f>
        <v>139.80000000000018</v>
      </c>
      <c r="I33" s="1379"/>
      <c r="J33" s="1379">
        <f>'Exhibit G'!AE99</f>
        <v>4917.8</v>
      </c>
      <c r="K33" s="1379"/>
      <c r="L33" s="1435">
        <v>0</v>
      </c>
      <c r="M33" s="1379"/>
      <c r="N33" s="1435">
        <v>0</v>
      </c>
      <c r="O33" s="1379"/>
      <c r="P33" s="1224">
        <f>'Exhibit I'!Y76</f>
        <v>440.7999999999999</v>
      </c>
      <c r="Q33" s="1224"/>
      <c r="R33" s="1379">
        <f>'Exhibit I'!AF76</f>
        <v>1638.8</v>
      </c>
      <c r="S33" s="1421"/>
      <c r="T33" s="1421"/>
      <c r="U33" s="1379"/>
      <c r="V33" s="1379">
        <f>ROUND(SUM(D33)+SUM(H33)+SUM(L33)+SUM(P33),1)</f>
        <v>617.4</v>
      </c>
      <c r="W33" s="1379" t="s">
        <v>103</v>
      </c>
      <c r="X33" s="1379">
        <f>ROUND(SUM(F33)+SUM(J33)+SUM(N33)+SUM(R33),1)</f>
        <v>6804.3</v>
      </c>
      <c r="Y33" s="1421"/>
      <c r="Z33" s="1422"/>
      <c r="AA33" s="1379"/>
      <c r="AB33" s="1225">
        <v>197.70000000000002</v>
      </c>
      <c r="AC33" s="1379"/>
      <c r="AD33" s="1379">
        <f>'Exhibit F'!AF114+'Exhibit G'!AH99+'Exhibit I'!AI76</f>
        <v>6257.2</v>
      </c>
      <c r="AE33" s="1379"/>
      <c r="AF33" s="1423"/>
      <c r="AG33" s="1379">
        <f t="shared" si="6"/>
        <v>547.1</v>
      </c>
      <c r="AI33" s="1223">
        <f>ROUND(SUM((+X33-AD33)/ABS(AD33)),3)</f>
        <v>8.6999999999999994E-2</v>
      </c>
      <c r="AJ33" s="2098"/>
      <c r="AK33" s="294"/>
      <c r="AL33" s="294"/>
    </row>
    <row r="34" spans="1:38" ht="18" customHeight="1">
      <c r="A34" s="1399" t="s">
        <v>134</v>
      </c>
      <c r="B34" s="1400"/>
      <c r="C34" s="1400"/>
      <c r="D34" s="1428">
        <f>ROUND(SUM(D24:D33),1)</f>
        <v>4087.2</v>
      </c>
      <c r="E34" s="1427"/>
      <c r="F34" s="1428">
        <f>ROUND(SUM(F24:F33),1)</f>
        <v>60689.7</v>
      </c>
      <c r="G34" s="1427"/>
      <c r="H34" s="1428">
        <f>ROUND(SUM(H24:H33),1)</f>
        <v>8562.9</v>
      </c>
      <c r="I34" s="1427"/>
      <c r="J34" s="1428">
        <f>ROUND(SUM(J24:J33),1)</f>
        <v>98684.9</v>
      </c>
      <c r="K34" s="1427"/>
      <c r="L34" s="1428">
        <f>ROUND(SUM(L24:L33),1)</f>
        <v>0</v>
      </c>
      <c r="M34" s="1427"/>
      <c r="N34" s="2046">
        <f>ROUND(SUM(N24:N33),1)</f>
        <v>0</v>
      </c>
      <c r="O34" s="1427"/>
      <c r="P34" s="1425">
        <f>ROUND(SUM(P24:P33),1)</f>
        <v>701.1</v>
      </c>
      <c r="Q34" s="1427"/>
      <c r="R34" s="1425">
        <f>ROUND(SUM(R24:R33),1)</f>
        <v>6616.7</v>
      </c>
      <c r="S34" s="1429"/>
      <c r="T34" s="1429"/>
      <c r="U34" s="1427"/>
      <c r="V34" s="1428">
        <f>ROUND(SUM(V24:V33),1)</f>
        <v>13351.2</v>
      </c>
      <c r="W34" s="1427"/>
      <c r="X34" s="1428">
        <f>ROUND(SUM(X24:X33),1)</f>
        <v>165991.29999999999</v>
      </c>
      <c r="Y34" s="1429"/>
      <c r="Z34" s="1430"/>
      <c r="AA34" s="1427"/>
      <c r="AB34" s="1428">
        <f>ROUND(SUM(AB23:AB33),1)</f>
        <v>12022.4</v>
      </c>
      <c r="AC34" s="1427"/>
      <c r="AD34" s="1428">
        <f>ROUND(SUM(AD23:AD33),1)</f>
        <v>157632</v>
      </c>
      <c r="AE34" s="1427"/>
      <c r="AF34" s="1431"/>
      <c r="AG34" s="1428">
        <f>ROUND(SUM(AG24:AG33),1)</f>
        <v>8359.2999999999993</v>
      </c>
      <c r="AH34" s="1432"/>
      <c r="AI34" s="1433">
        <f>ROUND(SUM((+X34-AD34)/ABS(AD34)),3)</f>
        <v>5.2999999999999999E-2</v>
      </c>
      <c r="AJ34" s="2100"/>
      <c r="AK34" s="294"/>
      <c r="AL34" s="294"/>
    </row>
    <row r="35" spans="1:38" ht="18" customHeight="1">
      <c r="A35" s="1400" t="s">
        <v>135</v>
      </c>
      <c r="B35" s="1442"/>
      <c r="C35" s="1400"/>
      <c r="D35" s="1379"/>
      <c r="E35" s="1379"/>
      <c r="F35" s="1379"/>
      <c r="G35" s="1379"/>
      <c r="H35" s="1379"/>
      <c r="I35" s="1379"/>
      <c r="J35" s="1379"/>
      <c r="K35" s="1379"/>
      <c r="L35" s="1379"/>
      <c r="M35" s="1379"/>
      <c r="N35" s="1379"/>
      <c r="O35" s="1379"/>
      <c r="P35" s="1379"/>
      <c r="Q35" s="1379"/>
      <c r="R35" s="1379"/>
      <c r="S35" s="1421"/>
      <c r="T35" s="1421"/>
      <c r="U35" s="1379"/>
      <c r="V35" s="1379"/>
      <c r="W35" s="1379"/>
      <c r="X35" s="1379" t="s">
        <v>103</v>
      </c>
      <c r="Y35" s="1421"/>
      <c r="Z35" s="1422"/>
      <c r="AA35" s="1379"/>
      <c r="AB35" s="1379"/>
      <c r="AC35" s="1379"/>
      <c r="AD35" s="1379"/>
      <c r="AE35" s="1379"/>
      <c r="AF35" s="1423"/>
      <c r="AG35" s="1379"/>
      <c r="AI35" s="1387"/>
      <c r="AJ35" s="2098"/>
      <c r="AK35" s="294"/>
      <c r="AL35" s="294"/>
    </row>
    <row r="36" spans="1:38" ht="18" customHeight="1">
      <c r="A36" s="1400" t="s">
        <v>136</v>
      </c>
      <c r="B36" s="1440"/>
      <c r="C36" s="1400"/>
      <c r="D36" s="1379">
        <f>'Exhibit F'!X117</f>
        <v>823.20000000000073</v>
      </c>
      <c r="E36" s="1379"/>
      <c r="F36" s="1379">
        <f>'Exhibit F'!AC117</f>
        <v>9921.2000000000007</v>
      </c>
      <c r="G36" s="1379"/>
      <c r="H36" s="1224">
        <f>'Exhibit G'!X102</f>
        <v>542.80000000000109</v>
      </c>
      <c r="I36" s="1379"/>
      <c r="J36" s="1379">
        <f>'Exhibit G'!AE102</f>
        <v>6386.5</v>
      </c>
      <c r="K36" s="1379"/>
      <c r="L36" s="1434">
        <v>0</v>
      </c>
      <c r="M36" s="1379"/>
      <c r="N36" s="1434">
        <v>0</v>
      </c>
      <c r="O36" s="1379"/>
      <c r="P36" s="1434">
        <f>'Exhibit I'!Y79</f>
        <v>0</v>
      </c>
      <c r="Q36" s="1379"/>
      <c r="R36" s="1434">
        <f>'Exhibit I'!AF79</f>
        <v>0</v>
      </c>
      <c r="S36" s="1421"/>
      <c r="T36" s="1421"/>
      <c r="U36" s="1379"/>
      <c r="V36" s="1379">
        <f>ROUND(SUM(D36)+SUM(H36)+SUM(L36)+SUM(P36),1)</f>
        <v>1366</v>
      </c>
      <c r="W36" s="1379" t="s">
        <v>103</v>
      </c>
      <c r="X36" s="1379">
        <f>ROUND(SUM(F36)+SUM(J36)+SUM(N36)+SUM(R36),1)</f>
        <v>16307.7</v>
      </c>
      <c r="Y36" s="1421"/>
      <c r="Z36" s="1422"/>
      <c r="AA36" s="1379"/>
      <c r="AB36" s="1225">
        <v>1241.0999999999999</v>
      </c>
      <c r="AC36" s="1379"/>
      <c r="AD36" s="1379">
        <f>'Exhibit F'!AF117+'Exhibit G'!AH102+'Exhibit I'!AI79</f>
        <v>15272.7</v>
      </c>
      <c r="AE36" s="1379"/>
      <c r="AF36" s="1423"/>
      <c r="AG36" s="1379">
        <f>ROUND(SUM(X36-AD36),1)</f>
        <v>1035</v>
      </c>
      <c r="AI36" s="1223">
        <f>ROUND(SUM((+X36-AD36)/ABS(AD36)),3)</f>
        <v>6.8000000000000005E-2</v>
      </c>
      <c r="AJ36" s="2098"/>
      <c r="AK36" s="294"/>
      <c r="AL36" s="294"/>
    </row>
    <row r="37" spans="1:38" ht="18" customHeight="1">
      <c r="A37" s="1400" t="s">
        <v>137</v>
      </c>
      <c r="B37" s="1442"/>
      <c r="C37" s="1400"/>
      <c r="D37" s="1379">
        <f>'Exhibit F'!X118</f>
        <v>345</v>
      </c>
      <c r="E37" s="1379"/>
      <c r="F37" s="1379">
        <f>'Exhibit F'!AC118</f>
        <v>2479.1</v>
      </c>
      <c r="G37" s="1379"/>
      <c r="H37" s="1224">
        <f>'Exhibit G'!X103</f>
        <v>535.10000000000014</v>
      </c>
      <c r="I37" s="1379"/>
      <c r="J37" s="1379">
        <f>'Exhibit G'!AE103</f>
        <v>5566.9</v>
      </c>
      <c r="K37" s="1379"/>
      <c r="L37" s="1224">
        <f>'Exhibit H'!V59</f>
        <v>4</v>
      </c>
      <c r="M37" s="1379"/>
      <c r="N37" s="1379">
        <f>'Exhibit H'!AA59</f>
        <v>33.1</v>
      </c>
      <c r="O37" s="1379" t="s">
        <v>103</v>
      </c>
      <c r="P37" s="1434">
        <f>'Exhibit I'!Y80</f>
        <v>0</v>
      </c>
      <c r="Q37" s="1379"/>
      <c r="R37" s="1434">
        <f>'Exhibit I'!AF80</f>
        <v>0</v>
      </c>
      <c r="S37" s="1421"/>
      <c r="T37" s="1421"/>
      <c r="U37" s="1379"/>
      <c r="V37" s="1379">
        <f>ROUND(SUM(D37)+SUM(H37)+SUM(L37)+SUM(P37),1)</f>
        <v>884.1</v>
      </c>
      <c r="W37" s="1379" t="s">
        <v>103</v>
      </c>
      <c r="X37" s="1379">
        <f>ROUND(SUM(F37)+SUM(J37)+SUM(N37)+SUM(R37),1)</f>
        <v>8079.1</v>
      </c>
      <c r="Y37" s="1421"/>
      <c r="Z37" s="1422"/>
      <c r="AA37" s="1379"/>
      <c r="AB37" s="1225">
        <v>860.2</v>
      </c>
      <c r="AC37" s="1379"/>
      <c r="AD37" s="1379">
        <f>'Exhibit F'!AF118+'Exhibit G'!AH103+'Exhibit I'!AI80+'Exhibit H'!AD59</f>
        <v>7530.3</v>
      </c>
      <c r="AE37" s="1379"/>
      <c r="AF37" s="1423"/>
      <c r="AG37" s="1379">
        <f>ROUND(SUM(X37-AD37),1)</f>
        <v>548.79999999999995</v>
      </c>
      <c r="AI37" s="1223">
        <f>ROUND(SUM((+X37-AD37)/ABS(AD37)),3)</f>
        <v>7.2999999999999995E-2</v>
      </c>
      <c r="AJ37" s="2098"/>
      <c r="AK37" s="294"/>
      <c r="AL37" s="294"/>
    </row>
    <row r="38" spans="1:38" ht="18" customHeight="1">
      <c r="A38" s="1400" t="s">
        <v>138</v>
      </c>
      <c r="B38" s="1409"/>
      <c r="C38" s="1400"/>
      <c r="D38" s="1379">
        <f>'Exhibit F'!X119</f>
        <v>2005.3999999999996</v>
      </c>
      <c r="E38" s="1379"/>
      <c r="F38" s="1379">
        <f>'Exhibit F'!AC119</f>
        <v>7980</v>
      </c>
      <c r="G38" s="2049"/>
      <c r="H38" s="1224">
        <f>'Exhibit G'!X104</f>
        <v>108.69999999999999</v>
      </c>
      <c r="I38" s="1379"/>
      <c r="J38" s="1379">
        <f>'Exhibit G'!AE104</f>
        <v>1461.3</v>
      </c>
      <c r="K38" s="1379"/>
      <c r="L38" s="1434">
        <v>0</v>
      </c>
      <c r="M38" s="1379"/>
      <c r="N38" s="1434">
        <v>0</v>
      </c>
      <c r="O38" s="1379"/>
      <c r="P38" s="1434">
        <f>'Exhibit I'!Y81</f>
        <v>0</v>
      </c>
      <c r="Q38" s="1379"/>
      <c r="R38" s="1434">
        <f>'Exhibit I'!AF81</f>
        <v>0</v>
      </c>
      <c r="S38" s="1421"/>
      <c r="T38" s="1421"/>
      <c r="U38" s="1379"/>
      <c r="V38" s="1379">
        <f>ROUND(SUM(D38)+SUM(H38)+SUM(L38)+SUM(P38),1)</f>
        <v>2114.1</v>
      </c>
      <c r="W38" s="1379" t="s">
        <v>103</v>
      </c>
      <c r="X38" s="1379">
        <f>ROUND(SUM(F38)+SUM(J38)+SUM(N38)+SUM(R38),1)</f>
        <v>9441.2999999999993</v>
      </c>
      <c r="Y38" s="1421"/>
      <c r="Z38" s="1422"/>
      <c r="AA38" s="1379"/>
      <c r="AB38" s="1225">
        <v>1965.6000000000001</v>
      </c>
      <c r="AC38" s="1379"/>
      <c r="AD38" s="1379">
        <f>'Exhibit F'!AF119+'Exhibit G'!AH104+'Exhibit I'!AI81</f>
        <v>9638.0999999999985</v>
      </c>
      <c r="AE38" s="1379"/>
      <c r="AF38" s="1423"/>
      <c r="AG38" s="1379">
        <f>ROUND(SUM(X38-AD38),1)</f>
        <v>-196.8</v>
      </c>
      <c r="AI38" s="1223">
        <f>ROUND(SUM((+X38-AD38)/ABS(AD38)),3)</f>
        <v>-0.02</v>
      </c>
      <c r="AJ38" s="2098"/>
      <c r="AK38" s="294"/>
      <c r="AL38" s="294"/>
    </row>
    <row r="39" spans="1:38" ht="18" customHeight="1">
      <c r="A39" s="1400" t="s">
        <v>139</v>
      </c>
      <c r="B39" s="1400"/>
      <c r="C39" s="1400"/>
      <c r="D39" s="1379"/>
      <c r="E39" s="1379"/>
      <c r="F39" s="1379"/>
      <c r="G39" s="1379"/>
      <c r="H39" s="1379"/>
      <c r="I39" s="1379"/>
      <c r="J39" s="2050"/>
      <c r="K39" s="1379"/>
      <c r="L39" s="1379"/>
      <c r="M39" s="1379"/>
      <c r="N39" s="1379"/>
      <c r="O39" s="1379"/>
      <c r="P39" s="1434"/>
      <c r="Q39" s="1379"/>
      <c r="R39" s="1379"/>
      <c r="S39" s="1421"/>
      <c r="T39" s="1421"/>
      <c r="U39" s="1379"/>
      <c r="V39" s="1379"/>
      <c r="W39" s="1379"/>
      <c r="X39" s="1379"/>
      <c r="Y39" s="1421"/>
      <c r="Z39" s="1422"/>
      <c r="AA39" s="1379"/>
      <c r="AB39" s="1379"/>
      <c r="AC39" s="1379"/>
      <c r="AD39" s="1379"/>
      <c r="AE39" s="1379"/>
      <c r="AF39" s="1423"/>
      <c r="AG39" s="1379"/>
      <c r="AI39" s="1223"/>
      <c r="AJ39" s="2098"/>
      <c r="AK39" s="294"/>
      <c r="AL39" s="294"/>
    </row>
    <row r="40" spans="1:38" ht="18" customHeight="1">
      <c r="A40" s="1400" t="s">
        <v>1518</v>
      </c>
      <c r="B40" s="1409"/>
      <c r="C40" s="1400"/>
      <c r="D40" s="1434">
        <v>0</v>
      </c>
      <c r="E40" s="1379"/>
      <c r="F40" s="1434">
        <v>0</v>
      </c>
      <c r="G40" s="1379"/>
      <c r="H40" s="1224">
        <f>'Exhibit G'!X106</f>
        <v>0</v>
      </c>
      <c r="I40" s="1379"/>
      <c r="J40" s="1434">
        <f>'Exhibit G'!AE106</f>
        <v>0</v>
      </c>
      <c r="K40" s="1379"/>
      <c r="L40" s="1379">
        <f>'Exhibit H'!V61</f>
        <v>127.10000000000002</v>
      </c>
      <c r="M40" s="1379"/>
      <c r="N40" s="1379">
        <f>'Exhibit H'!AA61</f>
        <v>481.8</v>
      </c>
      <c r="O40" s="1379" t="s">
        <v>103</v>
      </c>
      <c r="P40" s="1434">
        <v>0</v>
      </c>
      <c r="Q40" s="1379"/>
      <c r="R40" s="1434">
        <v>0</v>
      </c>
      <c r="S40" s="1421"/>
      <c r="T40" s="1421"/>
      <c r="U40" s="1379"/>
      <c r="V40" s="1379">
        <f>ROUND(SUM(D40)+SUM(H40)+SUM(L40)+SUM(P40),1)</f>
        <v>127.1</v>
      </c>
      <c r="W40" s="1379" t="s">
        <v>103</v>
      </c>
      <c r="X40" s="1379">
        <f>ROUND(SUM(F40)+SUM(J40)+SUM(N40)+SUM(R40),1)</f>
        <v>481.8</v>
      </c>
      <c r="Y40" s="1421"/>
      <c r="Z40" s="1422"/>
      <c r="AA40" s="1379"/>
      <c r="AB40" s="1225">
        <v>279</v>
      </c>
      <c r="AC40" s="1379"/>
      <c r="AD40" s="1379">
        <f>'Exhibit H'!AD61+'Exhibit G Federal'!AF76</f>
        <v>869</v>
      </c>
      <c r="AE40" s="1379"/>
      <c r="AF40" s="1423"/>
      <c r="AG40" s="1379">
        <f>ROUND(SUM(X40-AD40),1)</f>
        <v>-387.2</v>
      </c>
      <c r="AI40" s="1223">
        <f>ROUND(SUM((+X40-AD40)/ABS(AD40)),3)</f>
        <v>-0.44600000000000001</v>
      </c>
      <c r="AJ40" s="2101"/>
      <c r="AK40" s="294"/>
      <c r="AL40" s="294"/>
    </row>
    <row r="41" spans="1:38" ht="18" customHeight="1">
      <c r="A41" s="1400" t="s">
        <v>140</v>
      </c>
      <c r="B41" s="1409" t="s">
        <v>141</v>
      </c>
      <c r="C41" s="1400"/>
      <c r="D41" s="1434">
        <v>0</v>
      </c>
      <c r="E41" s="1379"/>
      <c r="F41" s="1434">
        <v>0</v>
      </c>
      <c r="G41" s="1379"/>
      <c r="H41" s="1224">
        <f>'Exhibit G'!X107</f>
        <v>0</v>
      </c>
      <c r="I41" s="1379"/>
      <c r="J41" s="1379">
        <f>'Exhibit G'!AE107</f>
        <v>0</v>
      </c>
      <c r="K41" s="1379"/>
      <c r="L41" s="1434">
        <v>0</v>
      </c>
      <c r="M41" s="1379"/>
      <c r="N41" s="1434">
        <v>0</v>
      </c>
      <c r="O41" s="1379"/>
      <c r="P41" s="1224">
        <f>'Exhibit I'!Y82</f>
        <v>705.89999999999918</v>
      </c>
      <c r="Q41" s="1379"/>
      <c r="R41" s="1445">
        <f>'Exhibit I'!AF82</f>
        <v>8688.7000000000007</v>
      </c>
      <c r="S41" s="1421"/>
      <c r="T41" s="1421"/>
      <c r="U41" s="1379"/>
      <c r="V41" s="1379">
        <f>ROUND(SUM(D41)+SUM(H41)+SUM(L41)+SUM(P41),1)</f>
        <v>705.9</v>
      </c>
      <c r="W41" s="1379" t="s">
        <v>103</v>
      </c>
      <c r="X41" s="1379">
        <f>ROUND(SUM(F41)+SUM(J41)+SUM(N41)+SUM(R41),1)</f>
        <v>8688.7000000000007</v>
      </c>
      <c r="Y41" s="1421"/>
      <c r="Z41" s="1422"/>
      <c r="AA41" s="1379"/>
      <c r="AB41" s="1225">
        <v>615.5</v>
      </c>
      <c r="AC41" s="1379"/>
      <c r="AD41" s="1379">
        <f>'Exhibit G'!AH107+'Exhibit I'!AI82</f>
        <v>7821.0999999999995</v>
      </c>
      <c r="AE41" s="1379"/>
      <c r="AF41" s="1423"/>
      <c r="AG41" s="1379">
        <f>ROUND(SUM(X41-AD41),1)</f>
        <v>867.6</v>
      </c>
      <c r="AI41" s="1223">
        <f>ROUND(SUM((+X41-AD41)/ABS(AD41)),3)</f>
        <v>0.111</v>
      </c>
      <c r="AJ41" s="2101"/>
      <c r="AK41" s="294"/>
      <c r="AL41" s="294"/>
    </row>
    <row r="42" spans="1:38" ht="18" customHeight="1">
      <c r="A42" s="1399" t="s">
        <v>142</v>
      </c>
      <c r="B42" s="1400"/>
      <c r="C42" s="1400"/>
      <c r="D42" s="1428">
        <f>ROUND(SUM(D34:D41),1)</f>
        <v>7260.8</v>
      </c>
      <c r="E42" s="1427"/>
      <c r="F42" s="1428">
        <f>ROUND(SUM(F34:F41),1)</f>
        <v>81070</v>
      </c>
      <c r="G42" s="1427"/>
      <c r="H42" s="1428">
        <f>ROUND(SUM(H34:H41),1)</f>
        <v>9749.5</v>
      </c>
      <c r="I42" s="1427"/>
      <c r="J42" s="1428">
        <f>ROUND(SUM(J34:J41),1)</f>
        <v>112099.6</v>
      </c>
      <c r="K42" s="1427"/>
      <c r="L42" s="1428">
        <f>ROUND(SUM(L34:L41),1)</f>
        <v>131.1</v>
      </c>
      <c r="M42" s="1427"/>
      <c r="N42" s="1428">
        <f>ROUND(SUM(N34:N41),1)</f>
        <v>514.9</v>
      </c>
      <c r="O42" s="1427"/>
      <c r="P42" s="1428">
        <f>ROUND(SUM(P34:P41),1)</f>
        <v>1407</v>
      </c>
      <c r="Q42" s="1427"/>
      <c r="R42" s="1428">
        <f>ROUND(SUM(R34:R41),1)</f>
        <v>15305.4</v>
      </c>
      <c r="S42" s="1429"/>
      <c r="T42" s="1429"/>
      <c r="U42" s="1427"/>
      <c r="V42" s="1428">
        <f>ROUND(SUM(V34:V41),1)</f>
        <v>18548.400000000001</v>
      </c>
      <c r="W42" s="1427"/>
      <c r="X42" s="1428">
        <f>ROUND(SUM(X34:X41),1)</f>
        <v>208989.9</v>
      </c>
      <c r="Y42" s="1429"/>
      <c r="Z42" s="1430"/>
      <c r="AA42" s="1427"/>
      <c r="AB42" s="1428">
        <f>ROUND(SUM(AB34:AB41),1)</f>
        <v>16983.8</v>
      </c>
      <c r="AC42" s="1427"/>
      <c r="AD42" s="1428">
        <f>ROUND(SUM(AD34:AD41),1)</f>
        <v>198763.2</v>
      </c>
      <c r="AE42" s="1427"/>
      <c r="AF42" s="1431"/>
      <c r="AG42" s="1428">
        <f>ROUND(SUM(AG34:AG41),1)</f>
        <v>10226.700000000001</v>
      </c>
      <c r="AH42" s="1432"/>
      <c r="AI42" s="1433">
        <f>ROUND(SUM((+X42-AD42)/ABS(AD42)),3)</f>
        <v>5.0999999999999997E-2</v>
      </c>
      <c r="AJ42" s="2100"/>
      <c r="AK42" s="294"/>
      <c r="AL42" s="294"/>
    </row>
    <row r="43" spans="1:38" ht="16.399999999999999" customHeight="1">
      <c r="A43" s="1399"/>
      <c r="B43" s="1400"/>
      <c r="C43" s="1400"/>
      <c r="D43" s="1379"/>
      <c r="E43" s="1379"/>
      <c r="F43" s="1379"/>
      <c r="G43" s="1379"/>
      <c r="H43" s="1379"/>
      <c r="I43" s="1379"/>
      <c r="J43" s="1379" t="s">
        <v>103</v>
      </c>
      <c r="K43" s="1379"/>
      <c r="L43" s="1379"/>
      <c r="M43" s="1379"/>
      <c r="N43" s="1379"/>
      <c r="O43" s="1379"/>
      <c r="P43" s="1224"/>
      <c r="Q43" s="1379"/>
      <c r="R43" s="1379"/>
      <c r="S43" s="1421"/>
      <c r="T43" s="1421"/>
      <c r="U43" s="1379"/>
      <c r="V43" s="1379"/>
      <c r="W43" s="1379"/>
      <c r="X43" s="1379" t="s">
        <v>103</v>
      </c>
      <c r="Y43" s="1421"/>
      <c r="Z43" s="1422"/>
      <c r="AA43" s="1379"/>
      <c r="AB43" s="1379" t="s">
        <v>103</v>
      </c>
      <c r="AC43" s="1379"/>
      <c r="AD43" s="1379"/>
      <c r="AE43" s="1379"/>
      <c r="AF43" s="1423"/>
      <c r="AG43" s="1379"/>
      <c r="AI43" s="1387"/>
      <c r="AJ43" s="2098"/>
      <c r="AK43" s="294"/>
      <c r="AL43" s="294"/>
    </row>
    <row r="44" spans="1:38" ht="16.399999999999999" customHeight="1">
      <c r="A44" s="1399" t="s">
        <v>143</v>
      </c>
      <c r="B44" s="1399"/>
      <c r="C44" s="1400"/>
      <c r="D44" s="1379"/>
      <c r="E44" s="1379"/>
      <c r="F44" s="1379"/>
      <c r="G44" s="1379"/>
      <c r="H44" s="1379"/>
      <c r="I44" s="1379"/>
      <c r="J44" s="1379"/>
      <c r="K44" s="1379"/>
      <c r="L44" s="1379" t="s">
        <v>103</v>
      </c>
      <c r="M44" s="1379"/>
      <c r="N44" s="1379"/>
      <c r="O44" s="1379"/>
      <c r="P44" s="1224"/>
      <c r="Q44" s="1379"/>
      <c r="R44" s="1379"/>
      <c r="S44" s="1421"/>
      <c r="T44" s="1421"/>
      <c r="U44" s="1379"/>
      <c r="V44" s="1379"/>
      <c r="W44" s="1379"/>
      <c r="X44" s="1379"/>
      <c r="Y44" s="1421"/>
      <c r="Z44" s="1422"/>
      <c r="AA44" s="1379"/>
      <c r="AB44" s="1379"/>
      <c r="AC44" s="1379"/>
      <c r="AD44" s="1379"/>
      <c r="AE44" s="1379"/>
      <c r="AF44" s="1423"/>
      <c r="AG44" s="1379"/>
      <c r="AI44" s="1387"/>
      <c r="AJ44" s="2098"/>
      <c r="AK44" s="294"/>
      <c r="AL44" s="294"/>
    </row>
    <row r="45" spans="1:38" ht="16.399999999999999" customHeight="1">
      <c r="A45" s="1399" t="s">
        <v>144</v>
      </c>
      <c r="B45" s="1399"/>
      <c r="C45" s="1400"/>
      <c r="D45" s="1446">
        <f>ROUND(SUM(D20-D42),1)</f>
        <v>-2948.1</v>
      </c>
      <c r="E45" s="1427"/>
      <c r="F45" s="1446">
        <f>ROUND(SUM(F20-F42),1)</f>
        <v>-23370.6</v>
      </c>
      <c r="G45" s="1427"/>
      <c r="H45" s="1446">
        <f>ROUND(SUM(H20-H42),1)</f>
        <v>2363.9</v>
      </c>
      <c r="I45" s="1427"/>
      <c r="J45" s="1446">
        <f>ROUND(SUM(J20-J42),1)</f>
        <v>-612.5</v>
      </c>
      <c r="K45" s="1427"/>
      <c r="L45" s="1446">
        <f>ROUND(SUM(L20-L42),1)</f>
        <v>3876.8</v>
      </c>
      <c r="M45" s="1427" t="s">
        <v>103</v>
      </c>
      <c r="N45" s="1446">
        <f>ROUND(SUM(N20-N42),1)</f>
        <v>43471.9</v>
      </c>
      <c r="O45" s="1427" t="s">
        <v>103</v>
      </c>
      <c r="P45" s="1447">
        <f>ROUND(SUM(P20-P42),1)</f>
        <v>-965.5</v>
      </c>
      <c r="Q45" s="1427" t="s">
        <v>103</v>
      </c>
      <c r="R45" s="1447">
        <f>ROUND(SUM(R20-R42),1)</f>
        <v>-7612.5</v>
      </c>
      <c r="S45" s="1429"/>
      <c r="T45" s="1429"/>
      <c r="U45" s="1427"/>
      <c r="V45" s="1446">
        <f>ROUND(SUM(V20-V42),1)</f>
        <v>2327.1</v>
      </c>
      <c r="W45" s="1427" t="s">
        <v>103</v>
      </c>
      <c r="X45" s="1446">
        <f>ROUND(SUM(X20-X42),1)</f>
        <v>11876.3</v>
      </c>
      <c r="Y45" s="1429"/>
      <c r="Z45" s="1430"/>
      <c r="AA45" s="1427"/>
      <c r="AB45" s="1446">
        <f>ROUND(SUM(AB20-AB42),1)</f>
        <v>-431.2</v>
      </c>
      <c r="AC45" s="1427"/>
      <c r="AD45" s="1446">
        <f>ROUND(SUM(AD20-AD42),1)</f>
        <v>10379.799999999999</v>
      </c>
      <c r="AE45" s="1427"/>
      <c r="AF45" s="1431"/>
      <c r="AG45" s="1446">
        <f>ROUND(SUM(X45-AD45),1)</f>
        <v>1496.5</v>
      </c>
      <c r="AH45" s="1432"/>
      <c r="AI45" s="1448">
        <f>ROUND(SUM((+X45-AD45)/ABS(AD45)),3)</f>
        <v>0.14399999999999999</v>
      </c>
      <c r="AJ45" s="2100"/>
      <c r="AK45" s="294"/>
      <c r="AL45" s="294"/>
    </row>
    <row r="46" spans="1:38" ht="16.399999999999999" customHeight="1">
      <c r="A46" s="1400"/>
      <c r="B46" s="1400"/>
      <c r="C46" s="1400"/>
      <c r="D46" s="1379"/>
      <c r="E46" s="1379"/>
      <c r="F46" s="1379"/>
      <c r="G46" s="1379"/>
      <c r="H46" s="1379"/>
      <c r="I46" s="1379"/>
      <c r="J46" s="1379" t="s">
        <v>103</v>
      </c>
      <c r="K46" s="1379"/>
      <c r="L46" s="1379"/>
      <c r="M46" s="1379"/>
      <c r="N46" s="1379"/>
      <c r="O46" s="1379"/>
      <c r="P46" s="1224"/>
      <c r="Q46" s="1379"/>
      <c r="R46" s="1379"/>
      <c r="S46" s="1421"/>
      <c r="T46" s="1421"/>
      <c r="U46" s="1379"/>
      <c r="V46" s="1379"/>
      <c r="W46" s="1379"/>
      <c r="X46" s="1379"/>
      <c r="Y46" s="1421"/>
      <c r="Z46" s="1422"/>
      <c r="AA46" s="1379"/>
      <c r="AB46" s="1379"/>
      <c r="AC46" s="1379"/>
      <c r="AD46" s="1379"/>
      <c r="AE46" s="1379"/>
      <c r="AF46" s="1423"/>
      <c r="AG46" s="1379"/>
      <c r="AI46" s="1387"/>
      <c r="AJ46" s="2098"/>
      <c r="AK46" s="294"/>
      <c r="AL46" s="294"/>
    </row>
    <row r="47" spans="1:38" ht="16.399999999999999" customHeight="1">
      <c r="A47" s="1399" t="s">
        <v>145</v>
      </c>
      <c r="B47" s="1399"/>
      <c r="C47" s="1400"/>
      <c r="D47" s="1379"/>
      <c r="E47" s="1379"/>
      <c r="F47" s="1379"/>
      <c r="G47" s="1379"/>
      <c r="H47" s="1379"/>
      <c r="I47" s="1379"/>
      <c r="J47" s="1379"/>
      <c r="K47" s="1379"/>
      <c r="L47" s="1379"/>
      <c r="M47" s="1379"/>
      <c r="N47" s="1379"/>
      <c r="O47" s="1379"/>
      <c r="P47" s="1224"/>
      <c r="Q47" s="1379"/>
      <c r="R47" s="1379"/>
      <c r="S47" s="1421"/>
      <c r="T47" s="1421"/>
      <c r="U47" s="1379"/>
      <c r="V47" s="1379"/>
      <c r="W47" s="1379"/>
      <c r="X47" s="1379"/>
      <c r="Y47" s="1421"/>
      <c r="Z47" s="1422"/>
      <c r="AA47" s="1379"/>
      <c r="AB47" s="1379"/>
      <c r="AC47" s="1379"/>
      <c r="AD47" s="1379"/>
      <c r="AE47" s="1379"/>
      <c r="AF47" s="1423"/>
      <c r="AG47" s="1379"/>
      <c r="AI47" s="1387"/>
      <c r="AJ47" s="2098"/>
      <c r="AK47" s="294"/>
      <c r="AL47" s="294"/>
    </row>
    <row r="48" spans="1:38" ht="18" customHeight="1">
      <c r="A48" s="1400" t="s">
        <v>146</v>
      </c>
      <c r="B48" s="1400"/>
      <c r="C48" s="1400"/>
      <c r="D48" s="1434">
        <v>0</v>
      </c>
      <c r="E48" s="1379"/>
      <c r="F48" s="1434">
        <v>0</v>
      </c>
      <c r="G48" s="1379"/>
      <c r="H48" s="1434">
        <v>0</v>
      </c>
      <c r="I48" s="1379"/>
      <c r="J48" s="1434">
        <v>0</v>
      </c>
      <c r="K48" s="1379"/>
      <c r="L48" s="1434">
        <v>0</v>
      </c>
      <c r="M48" s="1379"/>
      <c r="N48" s="1434">
        <v>0</v>
      </c>
      <c r="O48" s="1379"/>
      <c r="P48" s="1434">
        <f>'Exhibit I'!Y90</f>
        <v>0</v>
      </c>
      <c r="Q48" s="1379"/>
      <c r="R48" s="1434">
        <f>'Exhibit I'!AF90</f>
        <v>0</v>
      </c>
      <c r="S48" s="1421"/>
      <c r="T48" s="1421"/>
      <c r="U48" s="1379"/>
      <c r="V48" s="1379">
        <f>ROUND(SUM(D48)+SUM(H48)+SUM(L48)+SUM(P48),1)</f>
        <v>0</v>
      </c>
      <c r="W48" s="1434"/>
      <c r="X48" s="1379">
        <f>ROUND(SUM(F48)+SUM(J48)+SUM(N48)+SUM(R48),1)</f>
        <v>0</v>
      </c>
      <c r="Y48" s="1449"/>
      <c r="Z48" s="1450"/>
      <c r="AA48" s="1451"/>
      <c r="AB48" s="1225">
        <v>0</v>
      </c>
      <c r="AC48" s="1434"/>
      <c r="AD48" s="1435">
        <f>'Exhibit I'!AI90</f>
        <v>505</v>
      </c>
      <c r="AE48" s="1434"/>
      <c r="AF48" s="1452"/>
      <c r="AG48" s="1379">
        <f>X48-AD48</f>
        <v>-505</v>
      </c>
      <c r="AI48" s="1223">
        <f>ROUND(IF(AD48=0,0,AG48/ABS(AD48)),3)</f>
        <v>-1</v>
      </c>
      <c r="AJ48" s="2101"/>
      <c r="AK48" s="294"/>
      <c r="AL48" s="294"/>
    </row>
    <row r="49" spans="1:40" ht="18" customHeight="1">
      <c r="A49" s="1400" t="s">
        <v>147</v>
      </c>
      <c r="B49" s="1409" t="s">
        <v>148</v>
      </c>
      <c r="C49" s="1400"/>
      <c r="D49" s="1379">
        <f>'Exhibit F'!X128+'Exhibit F'!X129+'Exhibit F'!X130+'Exhibit F'!X131</f>
        <v>2846.7999999999884</v>
      </c>
      <c r="E49" s="1379"/>
      <c r="F49" s="1379">
        <f>'Exhibit F'!AC128+'Exhibit F'!AC129+'Exhibit F'!AC130+'Exhibit F'!AC131</f>
        <v>43570.1</v>
      </c>
      <c r="G49" s="1379"/>
      <c r="H49" s="1379">
        <f>'Exhibit G'!X115-109.3</f>
        <v>148.10000000000008</v>
      </c>
      <c r="I49" s="1379"/>
      <c r="J49" s="1379">
        <f>'Exhibit G'!AE115</f>
        <v>3041.1</v>
      </c>
      <c r="K49" s="1379"/>
      <c r="L49" s="1379">
        <f>'Exhibit H'!V69</f>
        <v>521.01000000000022</v>
      </c>
      <c r="M49" s="1379"/>
      <c r="N49" s="1379">
        <f>'Exhibit H'!AA69</f>
        <v>2757.8</v>
      </c>
      <c r="O49" s="1379"/>
      <c r="P49" s="1434">
        <f>'Exhibit I'!Y91</f>
        <v>921.69999999999982</v>
      </c>
      <c r="Q49" s="1379"/>
      <c r="R49" s="1379">
        <f>'Exhibit I'!AF91</f>
        <v>6463.8</v>
      </c>
      <c r="S49" s="1421"/>
      <c r="T49" s="1421"/>
      <c r="U49" s="1379"/>
      <c r="V49" s="1379">
        <f>ROUND(SUM(D49)+SUM(H49)+SUM(L49)+SUM(P49),1)</f>
        <v>4437.6000000000004</v>
      </c>
      <c r="W49" s="1379" t="s">
        <v>103</v>
      </c>
      <c r="X49" s="1379">
        <f>ROUND(SUM(F49)+SUM(J49)+SUM(N49)+SUM(R49),1)</f>
        <v>55832.800000000003</v>
      </c>
      <c r="Y49" s="1449"/>
      <c r="Z49" s="1450"/>
      <c r="AA49" s="1451"/>
      <c r="AB49" s="1225">
        <v>2746.4</v>
      </c>
      <c r="AC49" s="1379"/>
      <c r="AD49" s="1379">
        <f>'Exhibit F'!AF128+'Exhibit F'!AF129+'Exhibit F'!AF130+'Exhibit F'!AF131+'Exhibit G'!AH115+'Exhibit H'!AD69+'Exhibit I'!AI91</f>
        <v>46903.399999999994</v>
      </c>
      <c r="AE49" s="1379"/>
      <c r="AF49" s="1423"/>
      <c r="AG49" s="1379">
        <f>ROUND(SUM(X49-AD49),1)</f>
        <v>8929.4</v>
      </c>
      <c r="AI49" s="1223">
        <f>ROUND(SUM((+X49-AD49)/ABS(AD49)),3)</f>
        <v>0.19</v>
      </c>
      <c r="AJ49" s="2098"/>
      <c r="AK49" s="294"/>
      <c r="AL49" s="294"/>
    </row>
    <row r="50" spans="1:40" ht="18" customHeight="1">
      <c r="A50" s="1400" t="s">
        <v>149</v>
      </c>
      <c r="B50" s="1409" t="s">
        <v>148</v>
      </c>
      <c r="C50" s="1400"/>
      <c r="D50" s="1379">
        <f>'Exhibit F'!X132+'Exhibit F'!X134+'Exhibit F'!X135+'Exhibit F'!X133</f>
        <v>-1045.8000000000002</v>
      </c>
      <c r="E50" s="1379"/>
      <c r="F50" s="1379">
        <f>'Exhibit F'!AC132+'Exhibit F'!AC134+'Exhibit F'!AC135+'Exhibit F'!AC133</f>
        <v>-9578.8999999999978</v>
      </c>
      <c r="G50" s="1379"/>
      <c r="H50" s="1379">
        <f>'Exhibit G'!X116+109.3</f>
        <v>-617.90000000000009</v>
      </c>
      <c r="I50" s="1379"/>
      <c r="J50" s="1379">
        <f>'Exhibit G'!AE116</f>
        <v>-3058.7</v>
      </c>
      <c r="K50" s="1379"/>
      <c r="L50" s="1379">
        <f>'Exhibit H'!V70</f>
        <v>-2777.6999999999971</v>
      </c>
      <c r="M50" s="1379"/>
      <c r="N50" s="1379">
        <f>'Exhibit H'!AA70</f>
        <v>-43147.199999999997</v>
      </c>
      <c r="O50" s="1379"/>
      <c r="P50" s="1434">
        <f>'Exhibit I'!Y92</f>
        <v>-1.3000000000000114</v>
      </c>
      <c r="Q50" s="1379"/>
      <c r="R50" s="1379">
        <f>'Exhibit I'!AF92</f>
        <v>-130.4</v>
      </c>
      <c r="S50" s="1421"/>
      <c r="T50" s="1421"/>
      <c r="U50" s="1379"/>
      <c r="V50" s="1379">
        <f>ROUND(SUM(D50)+SUM(H50)+SUM(L50)+SUM(P50),1)</f>
        <v>-4442.7</v>
      </c>
      <c r="W50" s="1379" t="s">
        <v>103</v>
      </c>
      <c r="X50" s="1379">
        <f>ROUND(SUM(F50)+SUM(J50)+SUM(N50)+SUM(R50),1)</f>
        <v>-55915.199999999997</v>
      </c>
      <c r="Y50" s="1449"/>
      <c r="Z50" s="1450"/>
      <c r="AA50" s="1451"/>
      <c r="AB50" s="1225">
        <v>-2749.2999999999997</v>
      </c>
      <c r="AC50" s="1379"/>
      <c r="AD50" s="1379">
        <f>'Exhibit F'!AF132+'Exhibit F'!AF133+'Exhibit F'!AF134+'Exhibit F'!AF135+'Exhibit G'!AH116+'Exhibit H'!AD70+'Exhibit I'!AI92</f>
        <v>-46950.100000000006</v>
      </c>
      <c r="AE50" s="1379"/>
      <c r="AF50" s="1423"/>
      <c r="AG50" s="1445">
        <f>ROUND(SUM(X50-AD50),1)*-1</f>
        <v>8965.1</v>
      </c>
      <c r="AI50" s="1453">
        <f>-ROUND(SUM((+X50-AD50)/ABS(AD50)),3)</f>
        <v>0.191</v>
      </c>
      <c r="AJ50" s="2098"/>
      <c r="AK50" s="294"/>
      <c r="AL50" s="294"/>
    </row>
    <row r="51" spans="1:40" ht="18" customHeight="1">
      <c r="A51" s="1399" t="s">
        <v>150</v>
      </c>
      <c r="B51" s="1399"/>
      <c r="C51" s="1400"/>
      <c r="D51" s="1428">
        <f>ROUND(SUM(D48:D50),1)</f>
        <v>1801</v>
      </c>
      <c r="E51" s="1379"/>
      <c r="F51" s="1428">
        <f>ROUND(SUM(F48:F50),1)</f>
        <v>33991.199999999997</v>
      </c>
      <c r="G51" s="1427"/>
      <c r="H51" s="1428">
        <f>ROUND(SUM(H48:H50),1)</f>
        <v>-469.8</v>
      </c>
      <c r="I51" s="1427"/>
      <c r="J51" s="1428">
        <f>ROUND(SUM(J48:J50),1)</f>
        <v>-17.600000000000001</v>
      </c>
      <c r="K51" s="1427"/>
      <c r="L51" s="1428">
        <f>ROUND(SUM(L48:L50),1)</f>
        <v>-2256.6999999999998</v>
      </c>
      <c r="M51" s="1427"/>
      <c r="N51" s="1428">
        <f>ROUND(SUM(N48:N50),1)</f>
        <v>-40389.4</v>
      </c>
      <c r="O51" s="1427"/>
      <c r="P51" s="1428">
        <f>ROUND(SUM(P48:P50),1)</f>
        <v>920.4</v>
      </c>
      <c r="Q51" s="1427"/>
      <c r="R51" s="1428">
        <f>ROUND(SUM(R48:R50),1)</f>
        <v>6333.4</v>
      </c>
      <c r="S51" s="1429"/>
      <c r="T51" s="1429"/>
      <c r="U51" s="1427"/>
      <c r="V51" s="1454">
        <f>ROUND(SUM(V48+V49+V50),1)</f>
        <v>-5.0999999999999996</v>
      </c>
      <c r="W51" s="1427"/>
      <c r="X51" s="1454">
        <f>ROUND(SUM(+X48+X49+X50),1)</f>
        <v>-82.4</v>
      </c>
      <c r="Y51" s="1455"/>
      <c r="Z51" s="1456"/>
      <c r="AA51" s="1457"/>
      <c r="AB51" s="1454">
        <f>ROUND(SUM(+AB48+AB49+AB50),1)</f>
        <v>-2.9</v>
      </c>
      <c r="AC51" s="1427"/>
      <c r="AD51" s="1454">
        <f>ROUND(SUM(+AD48+AD49+AD50),1)</f>
        <v>458.3</v>
      </c>
      <c r="AE51" s="1458"/>
      <c r="AF51" s="1431"/>
      <c r="AG51" s="1425">
        <f>ROUND(SUM(+AG49-AG50+AG48),1)</f>
        <v>-540.70000000000005</v>
      </c>
      <c r="AH51" s="1432"/>
      <c r="AI51" s="1448">
        <f>ROUND(SUM(AG51/AD51),3)</f>
        <v>-1.18</v>
      </c>
      <c r="AJ51" s="2100"/>
      <c r="AK51" s="294"/>
      <c r="AL51" s="294"/>
    </row>
    <row r="52" spans="1:40" ht="16.399999999999999" customHeight="1">
      <c r="A52" s="1400"/>
      <c r="B52" s="1400"/>
      <c r="C52" s="1400"/>
      <c r="D52" s="1379"/>
      <c r="E52" s="1379"/>
      <c r="F52" s="1379" t="s">
        <v>103</v>
      </c>
      <c r="G52" s="1379"/>
      <c r="H52" s="1379" t="s">
        <v>103</v>
      </c>
      <c r="I52" s="1379"/>
      <c r="J52" s="1379" t="s">
        <v>103</v>
      </c>
      <c r="K52" s="1379"/>
      <c r="L52" s="1379" t="s">
        <v>103</v>
      </c>
      <c r="M52" s="1379"/>
      <c r="N52" s="1379"/>
      <c r="O52" s="1379"/>
      <c r="P52" s="1379" t="s">
        <v>103</v>
      </c>
      <c r="Q52" s="1379"/>
      <c r="R52" s="1379" t="s">
        <v>103</v>
      </c>
      <c r="S52" s="1421"/>
      <c r="T52" s="1421"/>
      <c r="U52" s="1379"/>
      <c r="V52" s="1379" t="s">
        <v>103</v>
      </c>
      <c r="W52" s="1379"/>
      <c r="X52" s="1379" t="s">
        <v>103</v>
      </c>
      <c r="Y52" s="1421"/>
      <c r="Z52" s="1422"/>
      <c r="AA52" s="1379"/>
      <c r="AB52" s="1379"/>
      <c r="AC52" s="1379"/>
      <c r="AD52" s="1379"/>
      <c r="AE52" s="1379"/>
      <c r="AF52" s="1423"/>
      <c r="AG52" s="1379"/>
      <c r="AI52" s="1387"/>
      <c r="AJ52" s="2098"/>
      <c r="AK52" s="294"/>
      <c r="AL52" s="294"/>
    </row>
    <row r="53" spans="1:40" ht="18" customHeight="1">
      <c r="A53" s="1399" t="s">
        <v>143</v>
      </c>
      <c r="B53" s="1399"/>
      <c r="C53" s="1400"/>
      <c r="D53" s="1379" t="s">
        <v>103</v>
      </c>
      <c r="E53" s="1379"/>
      <c r="F53" s="1379" t="s">
        <v>103</v>
      </c>
      <c r="G53" s="1379"/>
      <c r="H53" s="1379" t="s">
        <v>103</v>
      </c>
      <c r="I53" s="1379"/>
      <c r="J53" s="1379"/>
      <c r="K53" s="1379"/>
      <c r="L53" s="1379" t="s">
        <v>103</v>
      </c>
      <c r="M53" s="1379"/>
      <c r="N53" s="1379"/>
      <c r="O53" s="1379"/>
      <c r="P53" s="1379" t="s">
        <v>103</v>
      </c>
      <c r="Q53" s="1379"/>
      <c r="R53" s="1379"/>
      <c r="S53" s="1421"/>
      <c r="T53" s="1421"/>
      <c r="U53" s="1379"/>
      <c r="V53" s="1379" t="s">
        <v>103</v>
      </c>
      <c r="W53" s="1379"/>
      <c r="X53" s="1379"/>
      <c r="Y53" s="1421"/>
      <c r="Z53" s="1422"/>
      <c r="AA53" s="1379"/>
      <c r="AB53" s="1379"/>
      <c r="AC53" s="1379"/>
      <c r="AD53" s="1379"/>
      <c r="AE53" s="1379"/>
      <c r="AF53" s="1423"/>
      <c r="AG53" s="1379"/>
      <c r="AI53" s="1459"/>
      <c r="AJ53" s="2098"/>
      <c r="AK53" s="294"/>
      <c r="AL53" s="294"/>
    </row>
    <row r="54" spans="1:40" ht="18" customHeight="1">
      <c r="A54" s="1399" t="s">
        <v>151</v>
      </c>
      <c r="B54" s="1399"/>
      <c r="C54" s="1400"/>
      <c r="D54" s="1379"/>
      <c r="E54" s="1379"/>
      <c r="F54" s="1379"/>
      <c r="G54" s="1379"/>
      <c r="H54" s="1379"/>
      <c r="I54" s="1379"/>
      <c r="J54" s="1379"/>
      <c r="K54" s="1379"/>
      <c r="L54" s="1379"/>
      <c r="M54" s="1379"/>
      <c r="N54" s="1379"/>
      <c r="O54" s="1379"/>
      <c r="P54" s="1379"/>
      <c r="Q54" s="1379"/>
      <c r="R54" s="1379"/>
      <c r="S54" s="1421"/>
      <c r="T54" s="1421"/>
      <c r="U54" s="1379"/>
      <c r="V54" s="1379" t="s">
        <v>103</v>
      </c>
      <c r="W54" s="1379"/>
      <c r="X54" s="1379"/>
      <c r="Y54" s="1421"/>
      <c r="Z54" s="1422"/>
      <c r="AA54" s="1379"/>
      <c r="AB54" s="1379"/>
      <c r="AC54" s="1379"/>
      <c r="AD54" s="1379"/>
      <c r="AE54" s="1379"/>
      <c r="AF54" s="1423"/>
      <c r="AG54" s="1379"/>
      <c r="AI54" s="1387"/>
      <c r="AJ54" s="2098"/>
      <c r="AK54" s="294"/>
      <c r="AL54" s="294"/>
    </row>
    <row r="55" spans="1:40" ht="18" customHeight="1">
      <c r="A55" s="1399" t="s">
        <v>152</v>
      </c>
      <c r="B55" s="1399"/>
      <c r="C55" s="1400"/>
      <c r="D55" s="1427">
        <f>ROUND(SUM(D45+D51),1)</f>
        <v>-1147.0999999999999</v>
      </c>
      <c r="E55" s="1427"/>
      <c r="F55" s="1427">
        <f>ROUND(SUM(F45)+SUM(F51),1)</f>
        <v>10620.6</v>
      </c>
      <c r="G55" s="1427"/>
      <c r="H55" s="1427">
        <f>ROUND(SUM(H45+H51),1)</f>
        <v>1894.1</v>
      </c>
      <c r="I55" s="1427"/>
      <c r="J55" s="1427">
        <f>ROUND(SUM(J45)+SUM(J51),1)</f>
        <v>-630.1</v>
      </c>
      <c r="K55" s="1427"/>
      <c r="L55" s="1427">
        <f>ROUND(SUM(L45+L51),1)</f>
        <v>1620.1</v>
      </c>
      <c r="M55" s="1427"/>
      <c r="N55" s="1427">
        <f>ROUND(SUM(N45+N51),1)</f>
        <v>3082.5</v>
      </c>
      <c r="O55" s="1427"/>
      <c r="P55" s="1427">
        <f>ROUND(SUM(P45+P51),1)</f>
        <v>-45.1</v>
      </c>
      <c r="Q55" s="1427"/>
      <c r="R55" s="1427">
        <f>ROUND(SUM(R45+R51),1)</f>
        <v>-1279.0999999999999</v>
      </c>
      <c r="S55" s="1429"/>
      <c r="T55" s="1429"/>
      <c r="U55" s="1427"/>
      <c r="V55" s="1427">
        <f>ROUND(SUM(V45)+SUM(V51),1)</f>
        <v>2322</v>
      </c>
      <c r="W55" s="1427"/>
      <c r="X55" s="1427">
        <f>ROUND(SUM(X45)+SUM(X51),1)</f>
        <v>11793.9</v>
      </c>
      <c r="Y55" s="1455"/>
      <c r="Z55" s="1456"/>
      <c r="AA55" s="1457"/>
      <c r="AB55" s="1427">
        <f>ROUND(SUM(AB45)+SUM(AB51),1)</f>
        <v>-434.1</v>
      </c>
      <c r="AC55" s="1457"/>
      <c r="AD55" s="1">
        <f>ROUND(SUM(AD45)+SUM(AD51),1)</f>
        <v>10838.1</v>
      </c>
      <c r="AE55" s="1457"/>
      <c r="AF55" s="1460"/>
      <c r="AG55" s="1427">
        <f>ROUND(SUM(+AG45+AG51),1)</f>
        <v>955.8</v>
      </c>
      <c r="AH55" s="1432"/>
      <c r="AI55" s="1461">
        <f>ROUND(SUM((+X55-AD55)/ABS(AD55)),3)</f>
        <v>8.7999999999999995E-2</v>
      </c>
      <c r="AJ55" s="2100"/>
      <c r="AK55" s="295"/>
      <c r="AL55" s="294"/>
    </row>
    <row r="56" spans="1:40" ht="16.399999999999999" customHeight="1">
      <c r="A56" s="1399"/>
      <c r="B56" s="1399"/>
      <c r="C56" s="1400"/>
      <c r="D56" s="1379"/>
      <c r="E56" s="1379"/>
      <c r="F56" s="1379"/>
      <c r="G56" s="1379"/>
      <c r="H56" s="1379"/>
      <c r="I56" s="1379"/>
      <c r="J56" s="1379"/>
      <c r="K56" s="1379"/>
      <c r="L56" s="1379"/>
      <c r="M56" s="1379"/>
      <c r="N56" s="1379"/>
      <c r="O56" s="1379"/>
      <c r="P56" s="1379"/>
      <c r="Q56" s="1379"/>
      <c r="R56" s="1379"/>
      <c r="S56" s="1421"/>
      <c r="T56" s="1421"/>
      <c r="U56" s="1379"/>
      <c r="V56" s="1379"/>
      <c r="W56" s="1379"/>
      <c r="X56" s="1379"/>
      <c r="Y56" s="1449"/>
      <c r="Z56" s="1450"/>
      <c r="AA56" s="1451"/>
      <c r="AB56" s="1451"/>
      <c r="AC56" s="1451"/>
      <c r="AD56" s="263"/>
      <c r="AE56" s="1451"/>
      <c r="AF56" s="1462"/>
      <c r="AG56" s="1379"/>
      <c r="AI56" s="1387"/>
      <c r="AJ56" s="2098"/>
      <c r="AK56" s="294"/>
      <c r="AL56" s="294"/>
    </row>
    <row r="57" spans="1:40" ht="18" customHeight="1">
      <c r="A57" s="1463" t="s">
        <v>153</v>
      </c>
      <c r="B57" s="1409"/>
      <c r="C57" s="1400"/>
      <c r="D57" s="1446">
        <f>'Exhibit F'!X13</f>
        <v>58098.6</v>
      </c>
      <c r="E57" s="1427"/>
      <c r="F57" s="1446">
        <f>'Exhibit F'!D13</f>
        <v>46330.9</v>
      </c>
      <c r="G57" s="1427"/>
      <c r="H57" s="1446">
        <f>'Exhibit G'!X13</f>
        <v>18270.599999999999</v>
      </c>
      <c r="I57" s="1427"/>
      <c r="J57" s="1446">
        <f>'Exhibit G'!D13</f>
        <v>20794.8</v>
      </c>
      <c r="K57" s="1427"/>
      <c r="L57" s="1446">
        <f>'Exhibit H'!V13</f>
        <v>1567</v>
      </c>
      <c r="M57" s="1427"/>
      <c r="N57" s="1446">
        <f>'Exhibit H'!B13</f>
        <v>104.6</v>
      </c>
      <c r="O57" s="1427"/>
      <c r="P57" s="1446">
        <f>'Exhibit I'!Y13</f>
        <v>-2552.1</v>
      </c>
      <c r="Q57" s="1427"/>
      <c r="R57" s="1446">
        <f>'Exhibit I'!E13</f>
        <v>-1318.1</v>
      </c>
      <c r="S57" s="1429"/>
      <c r="T57" s="1429"/>
      <c r="U57" s="1427"/>
      <c r="V57" s="1446">
        <f>D57+H57+L57+P57</f>
        <v>75384.099999999991</v>
      </c>
      <c r="W57" s="1427"/>
      <c r="X57" s="1446">
        <f>F57+J57+N57+R57</f>
        <v>65912.2</v>
      </c>
      <c r="Y57" s="1455"/>
      <c r="Z57" s="1456"/>
      <c r="AA57" s="1457"/>
      <c r="AB57" s="2061">
        <v>77227.899999999994</v>
      </c>
      <c r="AC57" s="1457"/>
      <c r="AD57" s="1010">
        <f>'Exhibit F'!AF13+'Exhibit G'!AH13+'Exhibit H'!AD13+'Exhibit I'!AI13</f>
        <v>65955.699999999983</v>
      </c>
      <c r="AE57" s="1457"/>
      <c r="AF57" s="1460"/>
      <c r="AG57" s="1446">
        <f>ROUND(SUM(X57-AD57),1)</f>
        <v>-43.5</v>
      </c>
      <c r="AH57" s="1432"/>
      <c r="AI57" s="1464">
        <f>ROUND(SUM((+X57-AD57)/ABS(AD57)),3)</f>
        <v>-1E-3</v>
      </c>
      <c r="AJ57" s="2100"/>
      <c r="AK57" s="294"/>
      <c r="AL57" s="294"/>
    </row>
    <row r="58" spans="1:40" ht="16.399999999999999" customHeight="1">
      <c r="A58" s="1400"/>
      <c r="B58" s="1400"/>
      <c r="C58" s="1400"/>
      <c r="D58" s="1379"/>
      <c r="E58" s="1379"/>
      <c r="F58" s="1379"/>
      <c r="G58" s="1379"/>
      <c r="H58" s="1379"/>
      <c r="I58" s="1379"/>
      <c r="J58" s="1379"/>
      <c r="K58" s="1379"/>
      <c r="L58" s="1379"/>
      <c r="M58" s="1379"/>
      <c r="N58" s="1379"/>
      <c r="O58" s="1379"/>
      <c r="P58" s="1379"/>
      <c r="Q58" s="1379"/>
      <c r="R58" s="1379"/>
      <c r="S58" s="1421"/>
      <c r="T58" s="1421"/>
      <c r="U58" s="1379"/>
      <c r="V58" s="1379"/>
      <c r="W58" s="1379"/>
      <c r="X58" s="1379"/>
      <c r="Y58" s="1449"/>
      <c r="Z58" s="1450"/>
      <c r="AA58" s="1451"/>
      <c r="AB58" s="1451"/>
      <c r="AC58" s="1451"/>
      <c r="AD58" s="263"/>
      <c r="AE58" s="1451"/>
      <c r="AF58" s="1462"/>
      <c r="AG58" s="1379"/>
      <c r="AI58" s="1387"/>
      <c r="AJ58" s="2098"/>
      <c r="AK58" s="294"/>
      <c r="AL58" s="294"/>
    </row>
    <row r="59" spans="1:40" ht="18" customHeight="1" thickBot="1">
      <c r="A59" s="1463" t="s">
        <v>154</v>
      </c>
      <c r="B59" s="1440"/>
      <c r="C59" s="1223"/>
      <c r="D59" s="1465">
        <f>ROUND(SUM(D55+D57),1)</f>
        <v>56951.5</v>
      </c>
      <c r="E59" s="1466"/>
      <c r="F59" s="1465">
        <f>ROUND(SUM(F55+F57),1)</f>
        <v>56951.5</v>
      </c>
      <c r="G59" s="1466"/>
      <c r="H59" s="1465">
        <f>ROUND(SUM(H55+H57),1)</f>
        <v>20164.7</v>
      </c>
      <c r="I59" s="1466"/>
      <c r="J59" s="1465">
        <f>ROUND(SUM(J55)+SUM(J57),1)</f>
        <v>20164.7</v>
      </c>
      <c r="K59" s="1466"/>
      <c r="L59" s="1465">
        <f>ROUND(SUM(L55+L57),1)</f>
        <v>3187.1</v>
      </c>
      <c r="M59" s="1466"/>
      <c r="N59" s="1465">
        <f>ROUND(SUM(N55+N57),1)</f>
        <v>3187.1</v>
      </c>
      <c r="O59" s="1466"/>
      <c r="P59" s="1465">
        <f>ROUND(SUM(P55+P57),1)</f>
        <v>-2597.1999999999998</v>
      </c>
      <c r="Q59" s="1466"/>
      <c r="R59" s="1465">
        <f>ROUND(SUM(R55+R57),1)</f>
        <v>-2597.1999999999998</v>
      </c>
      <c r="S59" s="1467"/>
      <c r="T59" s="1467"/>
      <c r="U59" s="1466"/>
      <c r="V59" s="1465">
        <f>ROUND(SUM(V55+V57),1)</f>
        <v>77706.100000000006</v>
      </c>
      <c r="W59" s="1466"/>
      <c r="X59" s="1465">
        <f>ROUND(SUM(X55+X57),1)</f>
        <v>77706.100000000006</v>
      </c>
      <c r="Y59" s="1468"/>
      <c r="Z59" s="1469"/>
      <c r="AA59" s="1470"/>
      <c r="AB59" s="1465">
        <f>ROUND(SUM(AB55+AB57),1)</f>
        <v>76793.8</v>
      </c>
      <c r="AC59" s="1470"/>
      <c r="AD59" s="1345">
        <f>ROUND(SUM(AD55+AD57),1)</f>
        <v>76793.8</v>
      </c>
      <c r="AE59" s="1470"/>
      <c r="AF59" s="1471"/>
      <c r="AG59" s="1465">
        <f>ROUND(SUM(AG55+AG57),1)</f>
        <v>912.3</v>
      </c>
      <c r="AH59" s="1432"/>
      <c r="AI59" s="1472">
        <f>ROUND(SUM((+X59-AD59)/ABS(AD59)),3)</f>
        <v>1.2E-2</v>
      </c>
      <c r="AJ59" s="2100"/>
      <c r="AK59" s="295"/>
      <c r="AL59" s="295"/>
      <c r="AM59" s="1474"/>
      <c r="AN59" s="1475"/>
    </row>
    <row r="60" spans="1:40" ht="15.5">
      <c r="A60" s="1476"/>
      <c r="B60" s="1476"/>
      <c r="C60" s="1476"/>
      <c r="D60" s="1400"/>
      <c r="E60" s="1400"/>
      <c r="F60" s="1400"/>
      <c r="G60" s="1400"/>
      <c r="H60" s="1400"/>
      <c r="I60" s="1400"/>
      <c r="J60" s="1400" t="s">
        <v>103</v>
      </c>
      <c r="K60" s="1400"/>
      <c r="L60" s="1400"/>
      <c r="M60" s="1400"/>
      <c r="N60" s="1400"/>
      <c r="O60" s="1400"/>
      <c r="P60" s="1400"/>
      <c r="Q60" s="1400"/>
      <c r="R60" s="1400"/>
      <c r="S60" s="1477"/>
      <c r="T60" s="1477"/>
      <c r="U60" s="1477"/>
      <c r="V60" s="1477" t="s">
        <v>103</v>
      </c>
      <c r="W60" s="1477"/>
      <c r="X60" s="1400"/>
      <c r="Y60" s="1477"/>
      <c r="Z60" s="1477"/>
      <c r="AA60" s="1477"/>
      <c r="AB60" s="1477"/>
      <c r="AC60" s="1477"/>
      <c r="AD60" s="1477"/>
      <c r="AE60" s="1477"/>
      <c r="AF60" s="1477"/>
      <c r="AG60" s="1477"/>
      <c r="AI60" s="1478"/>
      <c r="AJ60" s="2097"/>
      <c r="AK60" s="294"/>
      <c r="AL60" s="294"/>
    </row>
    <row r="61" spans="1:40" ht="15.5">
      <c r="A61" s="1479"/>
      <c r="B61" s="1432"/>
      <c r="C61" s="1432"/>
      <c r="P61" s="1479"/>
      <c r="R61" s="1479"/>
      <c r="T61" s="1388" t="s">
        <v>103</v>
      </c>
      <c r="X61" s="1387"/>
      <c r="AI61" s="1478"/>
      <c r="AJ61" s="2097"/>
      <c r="AK61" s="294"/>
      <c r="AL61" s="294"/>
    </row>
    <row r="62" spans="1:40" ht="15.5">
      <c r="AB62" s="1480"/>
      <c r="AD62" s="1387"/>
      <c r="AI62" s="1478"/>
      <c r="AJ62" s="2097"/>
      <c r="AK62" s="294"/>
      <c r="AL62" s="294"/>
    </row>
    <row r="63" spans="1:40" ht="15.5">
      <c r="V63" s="1388" t="s">
        <v>103</v>
      </c>
      <c r="AB63" s="1480"/>
      <c r="AI63" s="1478"/>
      <c r="AJ63" s="2097"/>
      <c r="AK63" s="294"/>
      <c r="AL63" s="294"/>
    </row>
    <row r="64" spans="1:40" ht="15.5">
      <c r="A64" s="1481"/>
      <c r="AI64" s="1478"/>
      <c r="AJ64" s="2097"/>
      <c r="AK64" s="294"/>
      <c r="AL64" s="294"/>
    </row>
    <row r="65" spans="1:38" ht="15.5">
      <c r="A65" s="1481"/>
      <c r="AB65" s="1480"/>
      <c r="AI65" s="1478"/>
      <c r="AJ65" s="2097"/>
      <c r="AK65" s="294"/>
      <c r="AL65" s="294"/>
    </row>
    <row r="66" spans="1:38" ht="15.5">
      <c r="A66" s="1482"/>
      <c r="B66" s="1483"/>
      <c r="C66" s="1479"/>
      <c r="D66" s="1484"/>
      <c r="E66" s="1484"/>
      <c r="F66" s="1484"/>
      <c r="G66" s="1484"/>
      <c r="H66" s="1484"/>
      <c r="I66" s="1484"/>
      <c r="J66" s="1484"/>
      <c r="K66" s="1484"/>
      <c r="L66" s="1484"/>
      <c r="AI66" s="1478"/>
      <c r="AJ66" s="2097"/>
      <c r="AK66" s="294"/>
      <c r="AL66" s="294"/>
    </row>
    <row r="67" spans="1:38" ht="15.5">
      <c r="A67" s="1387"/>
      <c r="B67" s="1387"/>
      <c r="C67" s="1387"/>
      <c r="D67" s="1387"/>
      <c r="E67" s="1387"/>
      <c r="F67" s="1387"/>
      <c r="G67" s="1387"/>
      <c r="H67" s="1387"/>
      <c r="I67" s="1387"/>
      <c r="J67" s="1387"/>
      <c r="K67" s="1387"/>
      <c r="L67" s="1387"/>
      <c r="N67" s="1388" t="s">
        <v>103</v>
      </c>
      <c r="AI67" s="1478"/>
      <c r="AJ67" s="2097"/>
      <c r="AK67" s="294"/>
      <c r="AL67" s="294"/>
    </row>
    <row r="68" spans="1:38" ht="15.5">
      <c r="A68" s="1387"/>
      <c r="B68" s="1387"/>
      <c r="C68" s="1387"/>
      <c r="D68" s="1387"/>
      <c r="E68" s="1387"/>
      <c r="F68" s="1387"/>
      <c r="G68" s="1387"/>
      <c r="H68" s="1387"/>
      <c r="I68" s="1387"/>
      <c r="J68" s="1387"/>
      <c r="K68" s="1387"/>
      <c r="L68" s="1387"/>
      <c r="N68" s="1388" t="s">
        <v>103</v>
      </c>
      <c r="AI68" s="1478"/>
      <c r="AJ68" s="2097"/>
      <c r="AK68" s="294"/>
      <c r="AL68" s="294"/>
    </row>
    <row r="69" spans="1:38" ht="15.5">
      <c r="A69" s="1387"/>
      <c r="B69" s="1387"/>
      <c r="C69" s="1387"/>
      <c r="D69" s="1387"/>
      <c r="E69" s="1387"/>
      <c r="F69" s="1387"/>
      <c r="G69" s="1387"/>
      <c r="H69" s="1387"/>
      <c r="I69" s="1387"/>
      <c r="J69" s="1387"/>
      <c r="K69" s="1387"/>
      <c r="L69" s="1387"/>
      <c r="AI69" s="1478"/>
      <c r="AJ69" s="2097"/>
      <c r="AK69" s="294"/>
      <c r="AL69" s="294"/>
    </row>
    <row r="70" spans="1:38" ht="15.5">
      <c r="AI70" s="1478"/>
      <c r="AJ70" s="2097"/>
      <c r="AK70" s="294"/>
      <c r="AL70" s="294"/>
    </row>
    <row r="71" spans="1:38" ht="15.5">
      <c r="AI71" s="1478"/>
      <c r="AJ71" s="2097"/>
      <c r="AK71" s="294"/>
      <c r="AL71" s="294"/>
    </row>
    <row r="72" spans="1:38" ht="15.5">
      <c r="AI72" s="1478"/>
      <c r="AJ72" s="2097"/>
      <c r="AK72" s="294"/>
      <c r="AL72" s="294"/>
    </row>
    <row r="73" spans="1:38" ht="15.5">
      <c r="AI73" s="1478"/>
      <c r="AJ73" s="2097"/>
      <c r="AK73" s="294"/>
      <c r="AL73" s="294"/>
    </row>
    <row r="74" spans="1:38" ht="15.5">
      <c r="AI74" s="1478"/>
      <c r="AJ74" s="2097"/>
      <c r="AK74" s="294"/>
      <c r="AL74" s="294"/>
    </row>
    <row r="75" spans="1:38" ht="15.5">
      <c r="AI75" s="1478"/>
      <c r="AJ75" s="2097"/>
      <c r="AK75" s="294"/>
      <c r="AL75" s="294"/>
    </row>
    <row r="76" spans="1:38" ht="15.5">
      <c r="AI76" s="1478"/>
      <c r="AJ76" s="2097"/>
      <c r="AK76" s="294"/>
      <c r="AL76" s="294"/>
    </row>
    <row r="77" spans="1:38" ht="15.5">
      <c r="AI77" s="1478"/>
      <c r="AJ77" s="2097"/>
      <c r="AK77" s="294"/>
      <c r="AL77" s="294"/>
    </row>
    <row r="78" spans="1:38" ht="15.5">
      <c r="AI78" s="1478"/>
      <c r="AJ78" s="2097"/>
      <c r="AK78" s="294"/>
      <c r="AL78" s="294"/>
    </row>
    <row r="79" spans="1:38" ht="15.5">
      <c r="AI79" s="1478"/>
      <c r="AJ79" s="2097"/>
      <c r="AK79" s="294"/>
      <c r="AL79" s="294"/>
    </row>
    <row r="80" spans="1:38" ht="15.5">
      <c r="AI80" s="1478"/>
      <c r="AJ80" s="2097"/>
      <c r="AK80" s="294"/>
      <c r="AL80" s="294"/>
    </row>
    <row r="81" spans="35:38" ht="15.5">
      <c r="AI81" s="1478"/>
      <c r="AJ81" s="2097"/>
      <c r="AK81" s="294"/>
      <c r="AL81" s="294"/>
    </row>
    <row r="82" spans="35:38" ht="15.5">
      <c r="AI82" s="1478"/>
      <c r="AJ82" s="2097"/>
      <c r="AK82" s="294"/>
      <c r="AL82" s="294"/>
    </row>
    <row r="83" spans="35:38" ht="15.5">
      <c r="AI83" s="1478"/>
      <c r="AJ83" s="2097"/>
      <c r="AK83" s="294"/>
      <c r="AL83" s="294"/>
    </row>
    <row r="84" spans="35:38" ht="15.5">
      <c r="AI84" s="1478"/>
      <c r="AJ84" s="2097"/>
      <c r="AK84" s="294"/>
      <c r="AL84" s="294"/>
    </row>
    <row r="85" spans="35:38" ht="15.5">
      <c r="AI85" s="1478"/>
      <c r="AJ85" s="2097"/>
      <c r="AK85" s="294"/>
      <c r="AL85" s="294"/>
    </row>
    <row r="86" spans="35:38" ht="15.5">
      <c r="AI86" s="1478"/>
      <c r="AJ86" s="2097"/>
      <c r="AK86" s="294"/>
      <c r="AL86" s="294"/>
    </row>
    <row r="87" spans="35:38" ht="15.5">
      <c r="AI87" s="1478"/>
      <c r="AJ87" s="2097"/>
      <c r="AK87" s="294"/>
      <c r="AL87" s="294"/>
    </row>
    <row r="88" spans="35:38" ht="15.5">
      <c r="AI88" s="1478"/>
      <c r="AJ88" s="2097"/>
      <c r="AK88" s="294"/>
      <c r="AL88" s="294"/>
    </row>
    <row r="89" spans="35:38" ht="15.5">
      <c r="AI89" s="1478"/>
      <c r="AJ89" s="2097"/>
      <c r="AK89" s="294"/>
      <c r="AL89" s="294"/>
    </row>
    <row r="90" spans="35:38" ht="15.5">
      <c r="AI90" s="1478"/>
      <c r="AJ90" s="2097"/>
      <c r="AK90" s="294"/>
      <c r="AL90" s="294"/>
    </row>
    <row r="91" spans="35:38" ht="15.5">
      <c r="AI91" s="1478"/>
      <c r="AJ91" s="2097"/>
      <c r="AK91" s="294"/>
      <c r="AL91" s="294"/>
    </row>
    <row r="92" spans="35:38" ht="15.5">
      <c r="AI92" s="1478"/>
      <c r="AJ92" s="2097"/>
      <c r="AK92" s="294"/>
      <c r="AL92" s="294"/>
    </row>
    <row r="93" spans="35:38" ht="15.5">
      <c r="AI93" s="1478"/>
      <c r="AJ93" s="2097"/>
      <c r="AK93" s="294"/>
      <c r="AL93" s="294"/>
    </row>
    <row r="94" spans="35:38" ht="15.5">
      <c r="AI94" s="1478"/>
      <c r="AJ94" s="2097"/>
      <c r="AK94" s="294"/>
      <c r="AL94" s="294"/>
    </row>
    <row r="95" spans="35:38" ht="15.5">
      <c r="AI95" s="1478"/>
      <c r="AJ95" s="2097"/>
      <c r="AK95" s="294"/>
      <c r="AL95" s="294"/>
    </row>
    <row r="96" spans="35:38" ht="15.5">
      <c r="AI96" s="1478"/>
      <c r="AJ96" s="2097"/>
      <c r="AK96" s="294"/>
      <c r="AL96" s="294"/>
    </row>
    <row r="97" spans="35:38" ht="15.5">
      <c r="AI97" s="1478"/>
      <c r="AJ97" s="2097"/>
      <c r="AK97" s="294"/>
      <c r="AL97" s="294"/>
    </row>
    <row r="98" spans="35:38" ht="15.5">
      <c r="AI98" s="1478"/>
      <c r="AJ98" s="2097"/>
      <c r="AK98" s="294"/>
      <c r="AL98" s="294"/>
    </row>
    <row r="99" spans="35:38" ht="15.5">
      <c r="AI99" s="1478"/>
      <c r="AJ99" s="2097"/>
      <c r="AK99" s="294"/>
      <c r="AL99" s="294"/>
    </row>
    <row r="100" spans="35:38" ht="15.5">
      <c r="AI100" s="1478"/>
      <c r="AJ100" s="2097"/>
      <c r="AK100" s="294"/>
      <c r="AL100" s="294"/>
    </row>
    <row r="101" spans="35:38" ht="15.5">
      <c r="AI101" s="1478"/>
      <c r="AJ101" s="2097"/>
      <c r="AK101" s="294"/>
      <c r="AL101" s="294"/>
    </row>
    <row r="102" spans="35:38" ht="15.5">
      <c r="AI102" s="1478"/>
      <c r="AJ102" s="2097"/>
      <c r="AK102" s="294"/>
      <c r="AL102" s="294"/>
    </row>
    <row r="103" spans="35:38" ht="15.5">
      <c r="AI103" s="1478"/>
      <c r="AJ103" s="2097"/>
      <c r="AK103" s="294"/>
      <c r="AL103" s="294"/>
    </row>
    <row r="104" spans="35:38" ht="15.5">
      <c r="AI104" s="1478"/>
      <c r="AJ104" s="2097"/>
      <c r="AK104" s="294"/>
      <c r="AL104" s="294"/>
    </row>
    <row r="105" spans="35:38" ht="15.5">
      <c r="AI105" s="1478"/>
      <c r="AJ105" s="2097"/>
      <c r="AK105" s="294"/>
      <c r="AL105" s="294"/>
    </row>
    <row r="106" spans="35:38" ht="15.5">
      <c r="AI106" s="1478"/>
      <c r="AJ106" s="2097"/>
      <c r="AK106" s="294"/>
      <c r="AL106" s="294"/>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unlockedFormula="1"/>
    <ignoredError sqref="B41:B48 B51:B56 B49:B50 B14 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2"/>
  <sheetViews>
    <sheetView showGridLines="0" zoomScale="80" zoomScaleNormal="80" workbookViewId="0"/>
  </sheetViews>
  <sheetFormatPr defaultColWidth="8.69140625" defaultRowHeight="12.5"/>
  <cols>
    <col min="1" max="1" width="1.69140625" style="67" customWidth="1"/>
    <col min="2" max="2" width="42.4609375" style="67" customWidth="1"/>
    <col min="3" max="3" width="1.69140625" style="67" customWidth="1"/>
    <col min="4" max="4" width="12.07421875" style="67" customWidth="1"/>
    <col min="5" max="5" width="1.69140625" style="67" customWidth="1"/>
    <col min="6" max="6" width="12.69140625" style="67" customWidth="1"/>
    <col min="7" max="7" width="1.69140625" style="67" customWidth="1"/>
    <col min="8" max="8" width="13.07421875" style="67" customWidth="1"/>
    <col min="9" max="9" width="1.69140625" style="67" customWidth="1"/>
    <col min="10" max="10" width="13.07421875" style="67" customWidth="1"/>
    <col min="11" max="11" width="1.69140625" style="67" customWidth="1"/>
    <col min="12" max="12" width="13.07421875" style="67" customWidth="1"/>
    <col min="13" max="13" width="1.69140625" style="67" customWidth="1"/>
    <col min="14" max="14" width="14" style="67" customWidth="1"/>
    <col min="15" max="15" width="1.69140625" style="67" customWidth="1"/>
    <col min="16" max="16" width="11.69140625" style="67" customWidth="1"/>
    <col min="17" max="17" width="1.69140625" style="67" customWidth="1"/>
    <col min="18" max="18" width="11.53515625" style="67" customWidth="1"/>
    <col min="19" max="19" width="1.69140625" style="67" customWidth="1"/>
    <col min="20" max="20" width="12.07421875" style="67" customWidth="1"/>
    <col min="21" max="21" width="1.69140625" style="67" customWidth="1"/>
    <col min="22" max="22" width="13" style="67" customWidth="1"/>
    <col min="23" max="23" width="1.69140625" style="67" customWidth="1"/>
    <col min="24" max="24" width="12.07421875" style="67" customWidth="1"/>
    <col min="25" max="25" width="1.69140625" style="67" customWidth="1"/>
    <col min="26" max="26" width="12.69140625" style="67" customWidth="1"/>
    <col min="27" max="28" width="1.69140625" style="67" customWidth="1"/>
    <col min="29" max="29" width="12.69140625" style="67" customWidth="1"/>
    <col min="30" max="31" width="1.4609375" style="67" customWidth="1"/>
    <col min="32" max="32" width="12.69140625" style="67" customWidth="1"/>
    <col min="33" max="34" width="1.4609375" style="67" customWidth="1"/>
    <col min="35" max="35" width="12.69140625" style="67" customWidth="1"/>
    <col min="36" max="36" width="1" style="67" customWidth="1"/>
    <col min="37" max="37" width="12.69140625" style="67" customWidth="1"/>
    <col min="38" max="38" width="9.07421875" style="1612" bestFit="1" customWidth="1"/>
    <col min="39" max="39" width="8.69140625" style="1612" bestFit="1" customWidth="1"/>
    <col min="40" max="41" width="5.69140625" style="1612" customWidth="1"/>
    <col min="42" max="16384" width="8.69140625" style="67"/>
  </cols>
  <sheetData>
    <row r="1" spans="1:42" ht="15.5">
      <c r="B1" s="275" t="s">
        <v>97</v>
      </c>
    </row>
    <row r="2" spans="1:42" ht="15.5">
      <c r="M2" s="3"/>
      <c r="N2" s="3"/>
      <c r="O2" s="75"/>
    </row>
    <row r="3" spans="1:42" ht="20.25" customHeight="1">
      <c r="B3" s="69" t="s">
        <v>98</v>
      </c>
      <c r="M3" s="3"/>
      <c r="N3" s="3"/>
      <c r="O3" s="75"/>
      <c r="AE3" s="23"/>
      <c r="AF3" s="23"/>
      <c r="AG3" s="23"/>
      <c r="AH3" s="23"/>
      <c r="AI3" s="23"/>
      <c r="AJ3" s="23"/>
      <c r="AK3" s="111" t="s">
        <v>480</v>
      </c>
    </row>
    <row r="4" spans="1:42" ht="18">
      <c r="B4" s="69" t="s">
        <v>529</v>
      </c>
      <c r="L4" s="3"/>
      <c r="M4" s="3"/>
      <c r="O4" s="75"/>
    </row>
    <row r="5" spans="1:42" ht="18">
      <c r="B5" s="51" t="s">
        <v>452</v>
      </c>
      <c r="L5" s="75"/>
      <c r="M5" s="75"/>
      <c r="O5" s="75"/>
      <c r="X5" s="82"/>
    </row>
    <row r="6" spans="1:42" ht="20">
      <c r="B6" s="551" t="str">
        <f>'Cashflow Governmental'!A6</f>
        <v>FISCAL YEAR 2024-2025</v>
      </c>
      <c r="L6" s="75"/>
      <c r="M6" s="75"/>
      <c r="O6" s="75"/>
      <c r="AK6" s="76"/>
    </row>
    <row r="7" spans="1:42" ht="18">
      <c r="B7" s="69" t="s">
        <v>530</v>
      </c>
      <c r="AH7" s="35"/>
      <c r="AI7" s="35"/>
      <c r="AJ7" s="35"/>
      <c r="AK7" s="35"/>
    </row>
    <row r="8" spans="1:42" ht="13.5" customHeight="1">
      <c r="D8" s="1157"/>
      <c r="L8" s="75"/>
      <c r="M8" s="75"/>
      <c r="N8" s="75"/>
      <c r="O8" s="75"/>
      <c r="AB8" s="35"/>
      <c r="AC8" s="75"/>
      <c r="AD8" s="75"/>
      <c r="AE8" s="35"/>
      <c r="AF8" s="35"/>
      <c r="AG8" s="35"/>
      <c r="AH8" s="75"/>
      <c r="AI8" s="75"/>
      <c r="AJ8" s="75"/>
      <c r="AK8" s="75"/>
    </row>
    <row r="9" spans="1:42" ht="20.25" customHeight="1">
      <c r="D9" s="1148"/>
      <c r="M9" s="75"/>
      <c r="N9" s="75"/>
      <c r="O9" s="75"/>
      <c r="AB9" s="2126" t="str">
        <f>'Exhibit G'!AD9</f>
        <v>11 Months Ended February 28</v>
      </c>
      <c r="AC9" s="2124"/>
      <c r="AD9" s="2124"/>
      <c r="AE9" s="2124"/>
      <c r="AF9" s="2124"/>
      <c r="AG9" s="2124"/>
      <c r="AH9" s="2124"/>
      <c r="AI9" s="2124"/>
      <c r="AJ9" s="2124"/>
      <c r="AK9" s="2124"/>
    </row>
    <row r="10" spans="1:42" ht="15.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30" t="s">
        <v>111</v>
      </c>
    </row>
    <row r="11" spans="1:42" ht="15.5">
      <c r="B11" s="374"/>
      <c r="C11" s="374"/>
      <c r="D11" s="1249" t="s">
        <v>336</v>
      </c>
      <c r="E11" s="3"/>
      <c r="F11" s="1249" t="s">
        <v>337</v>
      </c>
      <c r="G11" s="3"/>
      <c r="H11" s="1249" t="s">
        <v>338</v>
      </c>
      <c r="I11" s="3"/>
      <c r="J11" s="1249" t="s">
        <v>339</v>
      </c>
      <c r="K11" s="3"/>
      <c r="L11" s="1249" t="s">
        <v>340</v>
      </c>
      <c r="M11" s="3"/>
      <c r="N11" s="1249" t="s">
        <v>453</v>
      </c>
      <c r="O11" s="3"/>
      <c r="P11" s="1249" t="s">
        <v>454</v>
      </c>
      <c r="Q11" s="3"/>
      <c r="R11" s="1249" t="s">
        <v>343</v>
      </c>
      <c r="S11" s="3"/>
      <c r="T11" s="1249" t="s">
        <v>344</v>
      </c>
      <c r="U11" s="3"/>
      <c r="V11" s="1249" t="s">
        <v>345</v>
      </c>
      <c r="W11" s="3"/>
      <c r="X11" s="1249" t="s">
        <v>346</v>
      </c>
      <c r="Y11" s="3"/>
      <c r="Z11" s="1249" t="s">
        <v>455</v>
      </c>
      <c r="AA11" s="3"/>
      <c r="AB11" s="3"/>
      <c r="AC11" s="1252" t="str">
        <f>'Cashflow Governmental'!AB14</f>
        <v>2025</v>
      </c>
      <c r="AD11" s="324"/>
      <c r="AE11" s="55" t="s">
        <v>103</v>
      </c>
      <c r="AF11" s="1252" t="str">
        <f>'Cashflow Governmental'!AE14</f>
        <v>2024</v>
      </c>
      <c r="AG11" s="324"/>
      <c r="AH11" s="61"/>
      <c r="AI11" s="426" t="s">
        <v>112</v>
      </c>
      <c r="AJ11" s="330"/>
      <c r="AK11" s="426" t="s">
        <v>113</v>
      </c>
    </row>
    <row r="12" spans="1:42" ht="5.25" customHeight="1">
      <c r="B12" s="374"/>
      <c r="C12" s="374"/>
      <c r="D12" s="55"/>
      <c r="E12" s="3"/>
      <c r="F12" s="55"/>
      <c r="G12" s="3"/>
      <c r="H12" s="55"/>
      <c r="I12" s="3"/>
      <c r="J12" s="55"/>
      <c r="K12" s="3"/>
      <c r="L12" s="55"/>
      <c r="M12" s="3"/>
      <c r="N12" s="55"/>
      <c r="O12" s="3"/>
      <c r="P12" s="55"/>
      <c r="Q12" s="3"/>
      <c r="R12" s="55"/>
      <c r="S12" s="3"/>
      <c r="T12" s="55"/>
      <c r="U12" s="3"/>
      <c r="V12" s="55"/>
      <c r="W12" s="3"/>
      <c r="X12" s="55"/>
      <c r="Y12" s="3"/>
      <c r="Z12" s="55"/>
      <c r="AA12" s="3"/>
      <c r="AB12" s="3"/>
      <c r="AC12" s="324"/>
      <c r="AD12" s="324"/>
      <c r="AE12" s="55"/>
      <c r="AF12" s="324"/>
      <c r="AG12" s="324"/>
      <c r="AH12" s="61"/>
      <c r="AI12" s="330"/>
      <c r="AJ12" s="330"/>
      <c r="AK12" s="330"/>
    </row>
    <row r="13" spans="1:42" ht="15.5">
      <c r="B13" s="3" t="s">
        <v>531</v>
      </c>
      <c r="C13" s="374"/>
      <c r="D13" s="87">
        <v>9641.7999999999993</v>
      </c>
      <c r="E13" s="3"/>
      <c r="F13" s="27">
        <f>D122</f>
        <v>11009.1</v>
      </c>
      <c r="G13" s="27"/>
      <c r="H13" s="27">
        <f>F122</f>
        <v>11018.3</v>
      </c>
      <c r="I13" s="3"/>
      <c r="J13" s="27">
        <f>H122</f>
        <v>12127.4</v>
      </c>
      <c r="K13" s="3"/>
      <c r="L13" s="27">
        <f>J122</f>
        <v>12354.6</v>
      </c>
      <c r="M13" s="3"/>
      <c r="N13" s="27">
        <f>L122</f>
        <v>12644.8</v>
      </c>
      <c r="O13" s="3"/>
      <c r="P13" s="27">
        <f>N122</f>
        <v>9877.2000000000007</v>
      </c>
      <c r="Q13" s="3"/>
      <c r="R13" s="27">
        <f>P122</f>
        <v>9844.2999999999993</v>
      </c>
      <c r="S13" s="27"/>
      <c r="T13" s="27">
        <f>R122</f>
        <v>9821.1</v>
      </c>
      <c r="U13" s="27"/>
      <c r="V13" s="27">
        <f>T122</f>
        <v>9179.2000000000007</v>
      </c>
      <c r="W13" s="27"/>
      <c r="X13" s="27">
        <f>V122</f>
        <v>9778.9</v>
      </c>
      <c r="Y13" s="27"/>
      <c r="Z13" s="27"/>
      <c r="AA13" s="3"/>
      <c r="AB13" s="685"/>
      <c r="AC13" s="2074">
        <f>D13</f>
        <v>9641.7999999999993</v>
      </c>
      <c r="AD13" s="324"/>
      <c r="AE13" s="2075"/>
      <c r="AF13" s="2073">
        <v>9113.7999999999993</v>
      </c>
      <c r="AG13" s="324"/>
      <c r="AH13" s="1059"/>
      <c r="AI13" s="1853">
        <f>_xlfn.SINGLE(ROUND(SUM(+AC13-AF13),1))</f>
        <v>528</v>
      </c>
      <c r="AJ13" s="13"/>
      <c r="AK13" s="78">
        <f>_xlfn.SINGLE(ROUND(IF(AF13=0,1,AI13/ABS(AF13)),3))</f>
        <v>5.8000000000000003E-2</v>
      </c>
      <c r="AL13" s="1610"/>
      <c r="AM13" s="1610"/>
      <c r="AP13" s="1302"/>
    </row>
    <row r="14" spans="1:42" ht="15.5">
      <c r="B14" s="3"/>
      <c r="C14" s="374"/>
      <c r="D14" s="55"/>
      <c r="E14" s="3"/>
      <c r="F14" s="55"/>
      <c r="G14" s="55"/>
      <c r="H14" s="55"/>
      <c r="I14" s="3"/>
      <c r="J14" s="55"/>
      <c r="K14" s="3"/>
      <c r="L14" s="55"/>
      <c r="M14" s="3"/>
      <c r="N14" s="55"/>
      <c r="O14" s="3"/>
      <c r="P14" s="55"/>
      <c r="Q14" s="3"/>
      <c r="R14" s="55"/>
      <c r="S14" s="3"/>
      <c r="T14" s="55"/>
      <c r="U14" s="3"/>
      <c r="V14" s="55"/>
      <c r="W14" s="3"/>
      <c r="X14" s="55"/>
      <c r="Y14" s="3"/>
      <c r="Z14" s="55"/>
      <c r="AA14" s="3"/>
      <c r="AB14" s="685"/>
      <c r="AC14" s="324"/>
      <c r="AD14" s="324"/>
      <c r="AE14" s="2075"/>
      <c r="AF14" s="324"/>
      <c r="AG14" s="324"/>
      <c r="AH14" s="1059"/>
      <c r="AI14" s="330"/>
      <c r="AJ14" s="330"/>
      <c r="AK14" s="330"/>
      <c r="AP14" s="1302"/>
    </row>
    <row r="15" spans="1:42"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74"/>
      <c r="AC15" s="374"/>
      <c r="AD15" s="374"/>
      <c r="AE15" s="1074"/>
      <c r="AF15" s="374"/>
      <c r="AG15" s="374"/>
      <c r="AH15" s="1059"/>
      <c r="AI15" s="374"/>
      <c r="AJ15" s="374"/>
      <c r="AK15" s="374"/>
      <c r="AP15" s="1302"/>
    </row>
    <row r="16" spans="1:42" ht="15" customHeight="1">
      <c r="A16" s="35"/>
      <c r="B16" s="1248" t="s">
        <v>349</v>
      </c>
      <c r="C16" s="301"/>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1074"/>
      <c r="AC16" s="374"/>
      <c r="AD16" s="374"/>
      <c r="AE16" s="1074"/>
      <c r="AF16" s="374"/>
      <c r="AG16" s="1061"/>
      <c r="AH16" s="374"/>
      <c r="AI16" s="374"/>
      <c r="AJ16" s="374"/>
      <c r="AK16" s="374"/>
      <c r="AP16" s="1302"/>
    </row>
    <row r="17" spans="1:42" s="331" customFormat="1" ht="15" customHeight="1">
      <c r="A17" s="428"/>
      <c r="B17" s="423" t="s">
        <v>487</v>
      </c>
      <c r="C17" s="3"/>
      <c r="D17" s="377">
        <v>0</v>
      </c>
      <c r="E17" s="377"/>
      <c r="F17" s="377">
        <v>0</v>
      </c>
      <c r="G17" s="377"/>
      <c r="H17" s="377">
        <v>0</v>
      </c>
      <c r="I17" s="274"/>
      <c r="J17" s="377">
        <v>0</v>
      </c>
      <c r="K17" s="565"/>
      <c r="L17" s="377">
        <v>0</v>
      </c>
      <c r="M17" s="620"/>
      <c r="N17" s="377">
        <v>0</v>
      </c>
      <c r="O17" s="620"/>
      <c r="P17" s="377">
        <v>0</v>
      </c>
      <c r="Q17" s="620"/>
      <c r="R17" s="377">
        <v>0</v>
      </c>
      <c r="S17" s="377"/>
      <c r="T17" s="377">
        <v>1.1000000000000001</v>
      </c>
      <c r="U17" s="377"/>
      <c r="V17" s="377">
        <v>1443</v>
      </c>
      <c r="W17" s="620"/>
      <c r="X17" s="377">
        <f>$AC17-SUM($D17:$V17)</f>
        <v>0</v>
      </c>
      <c r="Y17" s="377"/>
      <c r="Z17" s="377"/>
      <c r="AA17" s="284"/>
      <c r="AB17" s="1137"/>
      <c r="AC17" s="542">
        <v>1444.1</v>
      </c>
      <c r="AD17" s="286"/>
      <c r="AE17" s="1871"/>
      <c r="AF17" s="542">
        <v>1587.6</v>
      </c>
      <c r="AG17" s="1875"/>
      <c r="AH17" s="284"/>
      <c r="AI17" s="274">
        <f>_xlfn.SINGLE(ROUND(SUM(+AC17-AF17),1))</f>
        <v>-143.5</v>
      </c>
      <c r="AJ17" s="274"/>
      <c r="AK17" s="293">
        <f>_xlfn.SINGLE(ROUND(IF(AF17=0,0,AI17/ABS(AF17)),3))</f>
        <v>-0.09</v>
      </c>
      <c r="AL17" s="1610"/>
      <c r="AM17" s="1610"/>
      <c r="AN17" s="1612"/>
      <c r="AO17" s="1612"/>
      <c r="AP17" s="1302"/>
    </row>
    <row r="18" spans="1:42" s="331" customFormat="1" ht="6" customHeight="1">
      <c r="A18" s="428"/>
      <c r="B18" s="423"/>
      <c r="C18" s="3"/>
      <c r="D18" s="377" t="s">
        <v>103</v>
      </c>
      <c r="E18" s="20"/>
      <c r="F18" s="377"/>
      <c r="G18" s="377"/>
      <c r="H18" s="377"/>
      <c r="I18" s="20"/>
      <c r="J18" s="377"/>
      <c r="K18" s="20"/>
      <c r="L18" s="377"/>
      <c r="M18" s="20"/>
      <c r="N18" s="377"/>
      <c r="O18" s="20"/>
      <c r="P18" s="523"/>
      <c r="Q18" s="20"/>
      <c r="R18" s="377"/>
      <c r="S18" s="20"/>
      <c r="T18" s="377"/>
      <c r="U18" s="20"/>
      <c r="V18" s="377"/>
      <c r="W18" s="20"/>
      <c r="X18" s="377"/>
      <c r="Y18" s="20"/>
      <c r="Z18" s="377"/>
      <c r="AA18" s="20"/>
      <c r="AB18" s="1138"/>
      <c r="AC18" s="20" t="s">
        <v>103</v>
      </c>
      <c r="AD18" s="286"/>
      <c r="AE18" s="1871"/>
      <c r="AF18" s="20" t="s">
        <v>103</v>
      </c>
      <c r="AG18" s="1875"/>
      <c r="AH18" s="284"/>
      <c r="AI18" s="20"/>
      <c r="AJ18" s="13"/>
      <c r="AK18" s="1876"/>
      <c r="AL18" s="1610"/>
      <c r="AM18" s="1610"/>
      <c r="AN18" s="1612"/>
      <c r="AO18" s="1612"/>
      <c r="AP18" s="1302"/>
    </row>
    <row r="19" spans="1:42" ht="15" customHeight="1">
      <c r="A19" s="35"/>
      <c r="B19" s="423" t="s">
        <v>1450</v>
      </c>
      <c r="C19" s="301"/>
      <c r="D19" s="377" t="s">
        <v>103</v>
      </c>
      <c r="E19" s="274"/>
      <c r="F19" s="377"/>
      <c r="G19" s="377"/>
      <c r="H19" s="377"/>
      <c r="I19" s="274"/>
      <c r="J19" s="377"/>
      <c r="K19" s="274"/>
      <c r="L19" s="377"/>
      <c r="M19" s="274"/>
      <c r="N19" s="377"/>
      <c r="O19" s="274"/>
      <c r="P19" s="523"/>
      <c r="Q19" s="274"/>
      <c r="R19" s="377"/>
      <c r="S19" s="274"/>
      <c r="T19" s="377"/>
      <c r="U19" s="274"/>
      <c r="V19" s="377"/>
      <c r="W19" s="274"/>
      <c r="X19" s="377"/>
      <c r="Y19" s="274"/>
      <c r="Z19" s="377"/>
      <c r="AA19" s="274"/>
      <c r="AB19" s="535"/>
      <c r="AC19" s="274" t="s">
        <v>103</v>
      </c>
      <c r="AD19" s="274"/>
      <c r="AE19" s="535"/>
      <c r="AF19" s="274" t="s">
        <v>103</v>
      </c>
      <c r="AG19" s="530"/>
      <c r="AH19" s="274"/>
      <c r="AI19" s="274"/>
      <c r="AJ19" s="374"/>
      <c r="AK19" s="384"/>
      <c r="AL19" s="1610"/>
      <c r="AM19" s="1610"/>
      <c r="AP19" s="1302"/>
    </row>
    <row r="20" spans="1:42" ht="15" customHeight="1">
      <c r="A20" s="35"/>
      <c r="B20" s="374" t="s">
        <v>362</v>
      </c>
      <c r="C20" s="301"/>
      <c r="D20" s="377">
        <v>155.69999999999999</v>
      </c>
      <c r="E20" s="1139"/>
      <c r="F20" s="377">
        <v>98.700000000000017</v>
      </c>
      <c r="G20" s="377"/>
      <c r="H20" s="377">
        <v>125.4</v>
      </c>
      <c r="I20" s="1139"/>
      <c r="J20" s="377">
        <v>100.80000000000001</v>
      </c>
      <c r="K20" s="565"/>
      <c r="L20" s="377">
        <v>101.60000000000005</v>
      </c>
      <c r="M20" s="565"/>
      <c r="N20" s="377">
        <v>123.99999999999991</v>
      </c>
      <c r="O20" s="565"/>
      <c r="P20" s="377">
        <v>104.10000000000002</v>
      </c>
      <c r="Q20" s="565"/>
      <c r="R20" s="377">
        <v>104.39999999999998</v>
      </c>
      <c r="S20" s="565"/>
      <c r="T20" s="377">
        <v>126.10000000000002</v>
      </c>
      <c r="U20" s="565"/>
      <c r="V20" s="377">
        <v>113.20000000000005</v>
      </c>
      <c r="W20" s="565"/>
      <c r="X20" s="377">
        <f t="shared" ref="X20:X28" si="0">$AC20-SUM($D20:$V20)</f>
        <v>95.200000000000045</v>
      </c>
      <c r="Y20" s="565"/>
      <c r="Z20" s="377"/>
      <c r="AA20" s="274"/>
      <c r="AB20" s="535"/>
      <c r="AC20" s="1224">
        <v>1249.2</v>
      </c>
      <c r="AD20" s="297"/>
      <c r="AE20" s="1857"/>
      <c r="AF20" s="1224">
        <v>1222.7</v>
      </c>
      <c r="AG20" s="530"/>
      <c r="AH20" s="274"/>
      <c r="AI20" s="274">
        <f t="shared" ref="AI20:AI28" si="1">_xlfn.SINGLE(ROUND(SUM(+AC20-AF20),1))</f>
        <v>26.5</v>
      </c>
      <c r="AJ20" s="374"/>
      <c r="AK20" s="293">
        <f>_xlfn.SINGLE(ROUND(IF(AF20=0,0,AI20/ABS(AF20)),3))</f>
        <v>2.1999999999999999E-2</v>
      </c>
      <c r="AL20" s="1610"/>
      <c r="AM20" s="1610"/>
      <c r="AP20" s="1302"/>
    </row>
    <row r="21" spans="1:42" ht="15" customHeight="1">
      <c r="A21" s="35"/>
      <c r="B21" s="374" t="s">
        <v>1451</v>
      </c>
      <c r="C21" s="301"/>
      <c r="D21" s="377">
        <v>2.1</v>
      </c>
      <c r="E21" s="1139"/>
      <c r="F21" s="377">
        <v>0.10000000000000009</v>
      </c>
      <c r="G21" s="377"/>
      <c r="H21" s="377">
        <v>7.8000000000000007</v>
      </c>
      <c r="I21" s="1139"/>
      <c r="J21" s="377">
        <v>0</v>
      </c>
      <c r="K21" s="565"/>
      <c r="L21" s="377">
        <v>0</v>
      </c>
      <c r="M21" s="565"/>
      <c r="N21" s="377">
        <v>10.599999999999998</v>
      </c>
      <c r="O21" s="565"/>
      <c r="P21" s="377">
        <v>0</v>
      </c>
      <c r="Q21" s="565"/>
      <c r="R21" s="377">
        <v>0</v>
      </c>
      <c r="S21" s="565"/>
      <c r="T21" s="377">
        <v>10.000000000000004</v>
      </c>
      <c r="U21" s="565"/>
      <c r="V21" s="377">
        <v>0</v>
      </c>
      <c r="W21" s="565"/>
      <c r="X21" s="377">
        <f t="shared" si="0"/>
        <v>9.9999999999997868E-2</v>
      </c>
      <c r="Y21" s="565"/>
      <c r="Z21" s="377"/>
      <c r="AA21" s="274"/>
      <c r="AB21" s="535"/>
      <c r="AC21" s="542">
        <v>30.7</v>
      </c>
      <c r="AD21" s="297"/>
      <c r="AE21" s="1857"/>
      <c r="AF21" s="542">
        <v>27</v>
      </c>
      <c r="AG21" s="530"/>
      <c r="AH21" s="274"/>
      <c r="AI21" s="274">
        <f t="shared" si="1"/>
        <v>3.7</v>
      </c>
      <c r="AJ21" s="374"/>
      <c r="AK21" s="293">
        <f>_xlfn.SINGLE(ROUND(IF(AF21=0,0,AI21/ABS(AF21)),3))</f>
        <v>0.13700000000000001</v>
      </c>
      <c r="AL21" s="1610"/>
      <c r="AM21" s="1610"/>
      <c r="AP21" s="1302"/>
    </row>
    <row r="22" spans="1:42" ht="15" customHeight="1">
      <c r="A22" s="35"/>
      <c r="B22" s="374" t="s">
        <v>364</v>
      </c>
      <c r="C22" s="301"/>
      <c r="D22" s="377">
        <v>60.9</v>
      </c>
      <c r="E22" s="1139"/>
      <c r="F22" s="377">
        <v>48.1</v>
      </c>
      <c r="G22" s="377"/>
      <c r="H22" s="377">
        <v>42.099999999999987</v>
      </c>
      <c r="I22" s="1139"/>
      <c r="J22" s="377">
        <v>62.1</v>
      </c>
      <c r="K22" s="565"/>
      <c r="L22" s="377">
        <v>50.400000000000027</v>
      </c>
      <c r="M22" s="565"/>
      <c r="N22" s="377">
        <v>47.500000000000007</v>
      </c>
      <c r="O22" s="565"/>
      <c r="P22" s="377">
        <v>51.299999999999955</v>
      </c>
      <c r="Q22" s="565"/>
      <c r="R22" s="377">
        <v>40.5</v>
      </c>
      <c r="S22" s="565"/>
      <c r="T22" s="377">
        <v>45.600000000000023</v>
      </c>
      <c r="U22" s="565"/>
      <c r="V22" s="377">
        <v>48.399999999999977</v>
      </c>
      <c r="W22" s="565"/>
      <c r="X22" s="377">
        <f t="shared" si="0"/>
        <v>31.799999999999955</v>
      </c>
      <c r="Y22" s="565"/>
      <c r="Z22" s="377"/>
      <c r="AA22" s="274"/>
      <c r="AB22" s="535"/>
      <c r="AC22" s="542">
        <v>528.69999999999993</v>
      </c>
      <c r="AD22" s="297"/>
      <c r="AE22" s="1857"/>
      <c r="AF22" s="542">
        <v>553.1</v>
      </c>
      <c r="AG22" s="530"/>
      <c r="AH22" s="274"/>
      <c r="AI22" s="274">
        <f t="shared" si="1"/>
        <v>-24.4</v>
      </c>
      <c r="AJ22" s="374"/>
      <c r="AK22" s="293">
        <f>_xlfn.SINGLE(ROUND(IF(AF22=0,0,AI22/ABS(AF22)),3))</f>
        <v>-4.3999999999999997E-2</v>
      </c>
      <c r="AL22" s="1610"/>
      <c r="AM22" s="1610"/>
      <c r="AP22" s="1302"/>
    </row>
    <row r="23" spans="1:42" ht="15" customHeight="1">
      <c r="A23" s="35"/>
      <c r="B23" s="294" t="s">
        <v>444</v>
      </c>
      <c r="C23" s="301"/>
      <c r="D23" s="377">
        <v>2.7</v>
      </c>
      <c r="E23" s="1139"/>
      <c r="F23" s="377">
        <v>1.4999999999999991</v>
      </c>
      <c r="G23" s="377"/>
      <c r="H23" s="377">
        <v>18.900000000000002</v>
      </c>
      <c r="I23" s="1139"/>
      <c r="J23" s="377">
        <v>0.59999999999999787</v>
      </c>
      <c r="K23" s="565"/>
      <c r="L23" s="377">
        <v>1.3000000000000007</v>
      </c>
      <c r="M23" s="565"/>
      <c r="N23" s="377">
        <v>25.799999999999994</v>
      </c>
      <c r="O23" s="565"/>
      <c r="P23" s="377">
        <v>2.1000000000000014</v>
      </c>
      <c r="Q23" s="565"/>
      <c r="R23" s="377">
        <v>1.2000000000000028</v>
      </c>
      <c r="S23" s="565"/>
      <c r="T23" s="377">
        <v>31.800000000000004</v>
      </c>
      <c r="U23" s="565"/>
      <c r="V23" s="377">
        <v>2.1999999999999886</v>
      </c>
      <c r="W23" s="565"/>
      <c r="X23" s="377">
        <f t="shared" si="0"/>
        <v>1.7000000000000028</v>
      </c>
      <c r="Y23" s="565"/>
      <c r="Z23" s="377"/>
      <c r="AA23" s="274"/>
      <c r="AB23" s="535"/>
      <c r="AC23" s="542">
        <v>89.8</v>
      </c>
      <c r="AD23" s="297"/>
      <c r="AE23" s="1857"/>
      <c r="AF23" s="542">
        <v>28.599999999999998</v>
      </c>
      <c r="AG23" s="530"/>
      <c r="AH23" s="274"/>
      <c r="AI23" s="274">
        <f t="shared" si="1"/>
        <v>61.2</v>
      </c>
      <c r="AJ23" s="374"/>
      <c r="AK23" s="293">
        <f>_xlfn.SINGLE(ROUND(IF(AF23=0,0,AI23/ABS(AF23)),3))</f>
        <v>2.14</v>
      </c>
      <c r="AL23" s="1610"/>
      <c r="AM23" s="1610"/>
      <c r="AP23" s="1302"/>
    </row>
    <row r="24" spans="1:42" ht="15" customHeight="1">
      <c r="A24" s="35"/>
      <c r="B24" s="432" t="s">
        <v>366</v>
      </c>
      <c r="C24" s="301"/>
      <c r="D24" s="377">
        <v>7.9</v>
      </c>
      <c r="E24" s="1139"/>
      <c r="F24" s="377">
        <v>8.1</v>
      </c>
      <c r="G24" s="377"/>
      <c r="H24" s="377">
        <v>9.6000000000000032</v>
      </c>
      <c r="I24" s="1139"/>
      <c r="J24" s="377">
        <v>8.699999999999994</v>
      </c>
      <c r="K24" s="565"/>
      <c r="L24" s="377">
        <v>9.800000000000006</v>
      </c>
      <c r="M24" s="565"/>
      <c r="N24" s="377">
        <v>9.1</v>
      </c>
      <c r="O24" s="565"/>
      <c r="P24" s="377">
        <v>8.6999999999999957</v>
      </c>
      <c r="Q24" s="565"/>
      <c r="R24" s="377">
        <v>9.3000000000000043</v>
      </c>
      <c r="S24" s="565"/>
      <c r="T24" s="377">
        <v>8.0999999999999943</v>
      </c>
      <c r="U24" s="565"/>
      <c r="V24" s="377">
        <v>7.7000000000000028</v>
      </c>
      <c r="W24" s="565"/>
      <c r="X24" s="377">
        <f t="shared" si="0"/>
        <v>8.5</v>
      </c>
      <c r="Y24" s="565"/>
      <c r="Z24" s="377"/>
      <c r="AA24" s="274"/>
      <c r="AB24" s="535"/>
      <c r="AC24" s="542">
        <v>95.5</v>
      </c>
      <c r="AD24" s="297"/>
      <c r="AE24" s="1857"/>
      <c r="AF24" s="542">
        <v>95.8</v>
      </c>
      <c r="AG24" s="530"/>
      <c r="AH24" s="274"/>
      <c r="AI24" s="274">
        <f t="shared" si="1"/>
        <v>-0.3</v>
      </c>
      <c r="AJ24" s="374"/>
      <c r="AK24" s="293">
        <f>_xlfn.SINGLE(ROUND(IF(AF24=0,0,AI24/ABS(AF24)),3))</f>
        <v>-3.0000000000000001E-3</v>
      </c>
      <c r="AL24" s="1610"/>
      <c r="AM24" s="1610"/>
      <c r="AP24" s="1302"/>
    </row>
    <row r="25" spans="1:42" ht="15" customHeight="1">
      <c r="A25" s="35"/>
      <c r="B25" s="374" t="s">
        <v>1428</v>
      </c>
      <c r="C25" s="301"/>
      <c r="D25" s="377">
        <v>0</v>
      </c>
      <c r="E25" s="1139"/>
      <c r="F25" s="377">
        <v>0</v>
      </c>
      <c r="G25" s="377"/>
      <c r="H25" s="377">
        <v>0.1</v>
      </c>
      <c r="I25" s="1139"/>
      <c r="J25" s="377">
        <v>0</v>
      </c>
      <c r="K25" s="565"/>
      <c r="L25" s="377">
        <v>0</v>
      </c>
      <c r="M25" s="565"/>
      <c r="N25" s="377">
        <v>0.1</v>
      </c>
      <c r="O25" s="565"/>
      <c r="P25" s="377">
        <v>0</v>
      </c>
      <c r="Q25" s="565"/>
      <c r="R25" s="377">
        <v>0</v>
      </c>
      <c r="S25" s="565"/>
      <c r="T25" s="377">
        <v>0</v>
      </c>
      <c r="U25" s="565"/>
      <c r="V25" s="377">
        <v>0</v>
      </c>
      <c r="W25" s="565"/>
      <c r="X25" s="377">
        <f t="shared" si="0"/>
        <v>0</v>
      </c>
      <c r="Y25" s="565"/>
      <c r="Z25" s="377"/>
      <c r="AA25" s="274"/>
      <c r="AB25" s="535"/>
      <c r="AC25" s="542">
        <v>0.2</v>
      </c>
      <c r="AD25" s="297"/>
      <c r="AE25" s="1857"/>
      <c r="AF25" s="542">
        <v>0.4</v>
      </c>
      <c r="AG25" s="530"/>
      <c r="AH25" s="274"/>
      <c r="AI25" s="274">
        <f t="shared" si="1"/>
        <v>-0.2</v>
      </c>
      <c r="AJ25" s="374"/>
      <c r="AK25" s="293">
        <f>_xlfn.SINGLE(ROUND(IF(AF25=0,1,AI25/ABS(AF25)),3))</f>
        <v>-0.5</v>
      </c>
      <c r="AL25" s="1610"/>
      <c r="AM25" s="1610"/>
      <c r="AP25" s="1302"/>
    </row>
    <row r="26" spans="1:42" ht="15" customHeight="1">
      <c r="A26" s="35"/>
      <c r="B26" s="374" t="s">
        <v>1452</v>
      </c>
      <c r="C26" s="301"/>
      <c r="D26" s="377">
        <v>0</v>
      </c>
      <c r="E26" s="1139"/>
      <c r="F26" s="377">
        <v>0</v>
      </c>
      <c r="G26" s="377"/>
      <c r="H26" s="377">
        <v>0</v>
      </c>
      <c r="I26" s="1139"/>
      <c r="J26" s="377">
        <v>0</v>
      </c>
      <c r="K26" s="565"/>
      <c r="L26" s="377">
        <v>0</v>
      </c>
      <c r="M26" s="565"/>
      <c r="N26" s="377">
        <v>0</v>
      </c>
      <c r="O26" s="565"/>
      <c r="P26" s="377">
        <v>0</v>
      </c>
      <c r="Q26" s="565"/>
      <c r="R26" s="377">
        <v>0</v>
      </c>
      <c r="S26" s="565"/>
      <c r="T26" s="377">
        <v>0</v>
      </c>
      <c r="U26" s="565"/>
      <c r="V26" s="377">
        <v>0</v>
      </c>
      <c r="W26" s="565"/>
      <c r="X26" s="377">
        <f t="shared" si="0"/>
        <v>0</v>
      </c>
      <c r="Y26" s="565"/>
      <c r="Z26" s="377"/>
      <c r="AA26" s="274"/>
      <c r="AB26" s="535"/>
      <c r="AC26" s="542">
        <v>0</v>
      </c>
      <c r="AD26" s="297"/>
      <c r="AE26" s="1857"/>
      <c r="AF26" s="542">
        <v>0</v>
      </c>
      <c r="AG26" s="530"/>
      <c r="AH26" s="274"/>
      <c r="AI26" s="274">
        <f t="shared" si="1"/>
        <v>0</v>
      </c>
      <c r="AJ26" s="374"/>
      <c r="AK26" s="293">
        <f>_xlfn.SINGLE(ROUND(IF(AF26=0,0,AI26/ABS(AF26)),3))</f>
        <v>0</v>
      </c>
      <c r="AL26" s="1610"/>
      <c r="AM26" s="1610"/>
      <c r="AP26" s="1302"/>
    </row>
    <row r="27" spans="1:42" ht="15" customHeight="1">
      <c r="A27" s="35"/>
      <c r="B27" s="432" t="s">
        <v>369</v>
      </c>
      <c r="C27" s="301"/>
      <c r="D27" s="377">
        <v>0</v>
      </c>
      <c r="E27" s="1139"/>
      <c r="F27" s="377">
        <v>0.1</v>
      </c>
      <c r="G27" s="377"/>
      <c r="H27" s="377">
        <v>0</v>
      </c>
      <c r="I27" s="1139"/>
      <c r="J27" s="377">
        <v>0.1</v>
      </c>
      <c r="K27" s="565"/>
      <c r="L27" s="377">
        <v>0</v>
      </c>
      <c r="M27" s="565"/>
      <c r="N27" s="377">
        <v>9.9999999999999978E-2</v>
      </c>
      <c r="O27" s="565"/>
      <c r="P27" s="377">
        <v>0.2</v>
      </c>
      <c r="Q27" s="565"/>
      <c r="R27" s="377">
        <v>0.7</v>
      </c>
      <c r="S27" s="565"/>
      <c r="T27" s="377">
        <v>0.40000000000000013</v>
      </c>
      <c r="U27" s="565"/>
      <c r="V27" s="377">
        <v>0.19999999999999996</v>
      </c>
      <c r="W27" s="565"/>
      <c r="X27" s="377">
        <f t="shared" si="0"/>
        <v>9.9999999999999867E-2</v>
      </c>
      <c r="Y27" s="565"/>
      <c r="Z27" s="377"/>
      <c r="AA27" s="274"/>
      <c r="AB27" s="535"/>
      <c r="AC27" s="542">
        <v>1.9</v>
      </c>
      <c r="AD27" s="297"/>
      <c r="AE27" s="1857"/>
      <c r="AF27" s="542">
        <v>0.5</v>
      </c>
      <c r="AG27" s="530"/>
      <c r="AH27" s="274"/>
      <c r="AI27" s="274">
        <f t="shared" si="1"/>
        <v>1.4</v>
      </c>
      <c r="AJ27" s="374"/>
      <c r="AK27" s="621">
        <f>_xlfn.SINGLE(ROUND(IF(AF27=0,1,AI27/ABS(AF27)),3))</f>
        <v>2.8</v>
      </c>
      <c r="AL27" s="1610"/>
      <c r="AM27" s="1610"/>
      <c r="AP27" s="1302"/>
    </row>
    <row r="28" spans="1:42" ht="15" customHeight="1">
      <c r="A28" s="35"/>
      <c r="B28" s="294" t="s">
        <v>445</v>
      </c>
      <c r="C28" s="301"/>
      <c r="D28" s="377">
        <v>-0.1</v>
      </c>
      <c r="E28" s="1139"/>
      <c r="F28" s="377">
        <v>0.6</v>
      </c>
      <c r="G28" s="377"/>
      <c r="H28" s="377">
        <v>4.5999999999999996</v>
      </c>
      <c r="I28" s="1139"/>
      <c r="J28" s="377">
        <v>0.10000000000000053</v>
      </c>
      <c r="K28" s="565"/>
      <c r="L28" s="377">
        <v>0.70000000000000018</v>
      </c>
      <c r="M28" s="565"/>
      <c r="N28" s="377">
        <v>5.2999999999999989</v>
      </c>
      <c r="O28" s="565"/>
      <c r="P28" s="377">
        <v>-0.39999999999999858</v>
      </c>
      <c r="Q28" s="565"/>
      <c r="R28" s="377">
        <v>9.9999999999999645E-2</v>
      </c>
      <c r="S28" s="565"/>
      <c r="T28" s="377">
        <v>4.9000000000000004</v>
      </c>
      <c r="U28" s="565"/>
      <c r="V28" s="377">
        <v>9.9999999999999645E-2</v>
      </c>
      <c r="W28" s="565"/>
      <c r="X28" s="377">
        <f t="shared" si="0"/>
        <v>0.70000000000000107</v>
      </c>
      <c r="Y28" s="565"/>
      <c r="Z28" s="377"/>
      <c r="AA28" s="274"/>
      <c r="AB28" s="535"/>
      <c r="AC28" s="542">
        <v>16.600000000000001</v>
      </c>
      <c r="AD28" s="297"/>
      <c r="AE28" s="1857"/>
      <c r="AF28" s="542">
        <v>19</v>
      </c>
      <c r="AG28" s="530"/>
      <c r="AH28" s="274"/>
      <c r="AI28" s="274">
        <f t="shared" si="1"/>
        <v>-2.4</v>
      </c>
      <c r="AJ28" s="374"/>
      <c r="AK28" s="621">
        <f>_xlfn.SINGLE(ROUND(IF(AF28=0,1,AI28/ABS(AF28)),3))</f>
        <v>-0.126</v>
      </c>
      <c r="AL28" s="1610"/>
      <c r="AM28" s="1610"/>
      <c r="AP28" s="1302"/>
    </row>
    <row r="29" spans="1:42" s="331" customFormat="1" ht="15" customHeight="1">
      <c r="A29" s="428"/>
      <c r="B29" s="3" t="s">
        <v>488</v>
      </c>
      <c r="C29" s="3"/>
      <c r="D29" s="687">
        <f>_xlfn.SINGLE(ROUND(SUM(D20:D28),1))</f>
        <v>229.2</v>
      </c>
      <c r="E29" s="13"/>
      <c r="F29" s="687">
        <f>_xlfn.SINGLE(ROUND(SUM(F20:F28),1))</f>
        <v>157.19999999999999</v>
      </c>
      <c r="G29" s="13"/>
      <c r="H29" s="687">
        <f>_xlfn.SINGLE(ROUND(SUM(H20:H28),1))</f>
        <v>208.5</v>
      </c>
      <c r="I29" s="13"/>
      <c r="J29" s="687">
        <f>_xlfn.SINGLE(ROUND(SUM(J20:J28),1))</f>
        <v>172.4</v>
      </c>
      <c r="K29" s="13"/>
      <c r="L29" s="687">
        <f>_xlfn.SINGLE(ROUND(SUM(L20:L28),1))</f>
        <v>163.80000000000001</v>
      </c>
      <c r="M29" s="13"/>
      <c r="N29" s="687">
        <f>_xlfn.SINGLE(ROUND(SUM(N20:N28),1))</f>
        <v>222.5</v>
      </c>
      <c r="O29" s="13"/>
      <c r="P29" s="687">
        <f>_xlfn.SINGLE(ROUND(SUM(P20:P28),1))</f>
        <v>166</v>
      </c>
      <c r="Q29" s="13"/>
      <c r="R29" s="687">
        <f>_xlfn.SINGLE(ROUND(SUM(R20:R28),1))</f>
        <v>156.19999999999999</v>
      </c>
      <c r="S29" s="13"/>
      <c r="T29" s="687">
        <f>_xlfn.SINGLE(ROUND(SUM(T20:T28),1))</f>
        <v>226.9</v>
      </c>
      <c r="U29" s="13"/>
      <c r="V29" s="687">
        <f>_xlfn.SINGLE(ROUND(SUM(V20:V28),1))</f>
        <v>171.8</v>
      </c>
      <c r="W29" s="13"/>
      <c r="X29" s="687">
        <f>_xlfn.SINGLE(ROUND(SUM(X20:X28),1))</f>
        <v>138.1</v>
      </c>
      <c r="Y29" s="13"/>
      <c r="Z29" s="687">
        <f>_xlfn.SINGLE(ROUND(SUM(Z20:Z28),1))</f>
        <v>0</v>
      </c>
      <c r="AA29" s="13"/>
      <c r="AB29" s="683"/>
      <c r="AC29" s="687">
        <f>ROUND(SUM(AC20:AC28),1)</f>
        <v>2012.6</v>
      </c>
      <c r="AD29" s="13"/>
      <c r="AE29" s="683"/>
      <c r="AF29" s="687">
        <f>ROUND(SUM(AF20:AF28),1)</f>
        <v>1947.1</v>
      </c>
      <c r="AG29" s="79"/>
      <c r="AH29" s="13"/>
      <c r="AI29" s="687">
        <f>_xlfn.SINGLE(ROUND(SUM(AI20:AI28),1))</f>
        <v>65.5</v>
      </c>
      <c r="AJ29" s="61"/>
      <c r="AK29" s="1877">
        <f>_xlfn.SINGLE(ROUND(IF(AF29=0,0,AI29/ABS(AF29)),3))</f>
        <v>3.4000000000000002E-2</v>
      </c>
      <c r="AL29" s="1610"/>
      <c r="AM29" s="1610"/>
      <c r="AN29" s="1612"/>
      <c r="AO29" s="1612"/>
      <c r="AP29" s="1302"/>
    </row>
    <row r="30" spans="1:42" ht="15" customHeight="1">
      <c r="A30" s="35"/>
      <c r="B30" s="423" t="s">
        <v>532</v>
      </c>
      <c r="C30" s="301"/>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535"/>
      <c r="AC30" s="274"/>
      <c r="AD30" s="274"/>
      <c r="AE30" s="535"/>
      <c r="AF30" s="274"/>
      <c r="AG30" s="530"/>
      <c r="AH30" s="274"/>
      <c r="AI30" s="274"/>
      <c r="AJ30" s="374"/>
      <c r="AK30" s="374"/>
      <c r="AL30" s="1610"/>
      <c r="AM30" s="1610"/>
      <c r="AP30" s="1302"/>
    </row>
    <row r="31" spans="1:42" ht="15" customHeight="1">
      <c r="A31" s="35"/>
      <c r="B31" s="432" t="s">
        <v>374</v>
      </c>
      <c r="C31" s="301"/>
      <c r="D31" s="377">
        <v>242.7</v>
      </c>
      <c r="E31" s="1139"/>
      <c r="F31" s="377">
        <v>63.5</v>
      </c>
      <c r="G31" s="377"/>
      <c r="H31" s="377">
        <v>307.3</v>
      </c>
      <c r="I31" s="274"/>
      <c r="J31" s="377">
        <v>67.100000000000023</v>
      </c>
      <c r="K31" s="565"/>
      <c r="L31" s="377">
        <v>31.5</v>
      </c>
      <c r="M31" s="565"/>
      <c r="N31" s="377">
        <v>274.50000000000006</v>
      </c>
      <c r="O31" s="565"/>
      <c r="P31" s="377">
        <v>95.999999999999773</v>
      </c>
      <c r="Q31" s="565"/>
      <c r="R31" s="377">
        <v>28.800000000000182</v>
      </c>
      <c r="S31" s="565"/>
      <c r="T31" s="377">
        <v>299</v>
      </c>
      <c r="U31" s="565"/>
      <c r="V31" s="377">
        <v>69.799999999999955</v>
      </c>
      <c r="W31" s="565"/>
      <c r="X31" s="377">
        <f>$AC31-SUM($D31:$V31)</f>
        <v>-16.600000000000136</v>
      </c>
      <c r="Y31" s="565"/>
      <c r="Z31" s="377"/>
      <c r="AA31" s="274"/>
      <c r="AB31" s="535"/>
      <c r="AC31" s="542">
        <v>1463.6</v>
      </c>
      <c r="AD31" s="297"/>
      <c r="AE31" s="1857"/>
      <c r="AF31" s="542">
        <v>1365.3</v>
      </c>
      <c r="AG31" s="530"/>
      <c r="AH31" s="274"/>
      <c r="AI31" s="274">
        <f>_xlfn.SINGLE(ROUND(SUM(+AC31-AF31),1))</f>
        <v>98.3</v>
      </c>
      <c r="AJ31" s="374"/>
      <c r="AK31" s="1878">
        <f>_xlfn.SINGLE(ROUND(IF(AF31=0,0,AI31/ABS(AF31)),3))</f>
        <v>7.1999999999999995E-2</v>
      </c>
      <c r="AL31" s="1610"/>
      <c r="AM31" s="1610"/>
      <c r="AP31" s="1302"/>
    </row>
    <row r="32" spans="1:42" ht="15" customHeight="1">
      <c r="A32" s="35"/>
      <c r="B32" s="432" t="s">
        <v>375</v>
      </c>
      <c r="C32" s="301"/>
      <c r="D32" s="377">
        <v>15.8</v>
      </c>
      <c r="E32" s="1139"/>
      <c r="F32" s="377">
        <v>1.1999999999999993</v>
      </c>
      <c r="G32" s="377"/>
      <c r="H32" s="377">
        <v>16.299999999999997</v>
      </c>
      <c r="I32" s="274"/>
      <c r="J32" s="377">
        <v>-0.19999999999999574</v>
      </c>
      <c r="K32" s="565"/>
      <c r="L32" s="377">
        <v>-2.1000000000000014</v>
      </c>
      <c r="M32" s="565"/>
      <c r="N32" s="377">
        <v>23.200000000000003</v>
      </c>
      <c r="O32" s="565"/>
      <c r="P32" s="377">
        <v>-0.40000000000000568</v>
      </c>
      <c r="Q32" s="565"/>
      <c r="R32" s="377">
        <v>0.20000000000000284</v>
      </c>
      <c r="S32" s="565"/>
      <c r="T32" s="377">
        <v>15</v>
      </c>
      <c r="U32" s="565"/>
      <c r="V32" s="377">
        <v>0</v>
      </c>
      <c r="W32" s="565"/>
      <c r="X32" s="377">
        <f>$AC32-SUM($D32:$V32)</f>
        <v>1</v>
      </c>
      <c r="Y32" s="565"/>
      <c r="Z32" s="377"/>
      <c r="AA32" s="274"/>
      <c r="AB32" s="535"/>
      <c r="AC32" s="542">
        <v>70</v>
      </c>
      <c r="AD32" s="297"/>
      <c r="AE32" s="1857"/>
      <c r="AF32" s="542">
        <v>95.3</v>
      </c>
      <c r="AG32" s="530"/>
      <c r="AH32" s="274"/>
      <c r="AI32" s="274">
        <f>_xlfn.SINGLE(ROUND(SUM(+AC32-AF32),1))</f>
        <v>-25.3</v>
      </c>
      <c r="AJ32" s="374"/>
      <c r="AK32" s="1878">
        <f>_xlfn.SINGLE(ROUND(IF(AF32=0,0,AI32/ABS(AF32)),3))</f>
        <v>-0.26500000000000001</v>
      </c>
      <c r="AL32" s="1610"/>
      <c r="AM32" s="1610"/>
      <c r="AP32" s="1302"/>
    </row>
    <row r="33" spans="1:42" s="1148" customFormat="1" ht="15" customHeight="1">
      <c r="A33" s="1145"/>
      <c r="B33" s="1237" t="s">
        <v>376</v>
      </c>
      <c r="C33" s="382"/>
      <c r="D33" s="377">
        <v>16.8</v>
      </c>
      <c r="E33" s="1242"/>
      <c r="F33" s="377">
        <v>-2.3000000000000007</v>
      </c>
      <c r="G33" s="1158"/>
      <c r="H33" s="377">
        <v>62.5</v>
      </c>
      <c r="I33" s="624"/>
      <c r="J33" s="377">
        <v>0.20000000000000284</v>
      </c>
      <c r="K33" s="1146"/>
      <c r="L33" s="377">
        <v>2</v>
      </c>
      <c r="M33" s="1146"/>
      <c r="N33" s="377">
        <v>62.100000000000009</v>
      </c>
      <c r="O33" s="1146"/>
      <c r="P33" s="377">
        <v>1.5</v>
      </c>
      <c r="Q33" s="1146"/>
      <c r="R33" s="377">
        <v>0.19999999999998863</v>
      </c>
      <c r="S33" s="1146"/>
      <c r="T33" s="377">
        <v>55.800000000000011</v>
      </c>
      <c r="U33" s="1146"/>
      <c r="V33" s="377">
        <v>1.5999999999999943</v>
      </c>
      <c r="W33" s="1146"/>
      <c r="X33" s="377">
        <f>$AC33-SUM($D33:$V33)</f>
        <v>1.1999999999999886</v>
      </c>
      <c r="Y33" s="1146"/>
      <c r="Z33" s="377"/>
      <c r="AA33" s="624"/>
      <c r="AB33" s="876"/>
      <c r="AC33" s="542">
        <v>201.6</v>
      </c>
      <c r="AD33" s="1227"/>
      <c r="AE33" s="2076"/>
      <c r="AF33" s="542">
        <v>203.70000000000002</v>
      </c>
      <c r="AG33" s="1243"/>
      <c r="AH33" s="1225"/>
      <c r="AI33" s="1225">
        <f>_xlfn.SINGLE(ROUND(SUM(+AC33-AF33),1))</f>
        <v>-2.1</v>
      </c>
      <c r="AJ33" s="1237"/>
      <c r="AK33" s="1879">
        <f>_xlfn.SINGLE(ROUND(IF(AF33=0,0,AI33/ABS(AF33)),3))</f>
        <v>-0.01</v>
      </c>
      <c r="AL33" s="1610"/>
      <c r="AM33" s="1610"/>
      <c r="AN33" s="1612"/>
      <c r="AO33" s="1612"/>
      <c r="AP33" s="1303"/>
    </row>
    <row r="34" spans="1:42" ht="15" customHeight="1">
      <c r="A34" s="35"/>
      <c r="B34" s="432" t="s">
        <v>377</v>
      </c>
      <c r="C34" s="301"/>
      <c r="D34" s="377">
        <v>0.1</v>
      </c>
      <c r="E34" s="1139"/>
      <c r="F34" s="377">
        <v>0</v>
      </c>
      <c r="G34" s="377"/>
      <c r="H34" s="377">
        <v>0.4</v>
      </c>
      <c r="I34" s="274"/>
      <c r="J34" s="377">
        <v>-1.1000000000000001</v>
      </c>
      <c r="K34" s="565"/>
      <c r="L34" s="377">
        <v>0.20000000000000007</v>
      </c>
      <c r="M34" s="565"/>
      <c r="N34" s="377">
        <v>0</v>
      </c>
      <c r="O34" s="565"/>
      <c r="P34" s="377">
        <v>0</v>
      </c>
      <c r="Q34" s="565"/>
      <c r="R34" s="377">
        <v>0</v>
      </c>
      <c r="S34" s="565"/>
      <c r="T34" s="377">
        <v>0</v>
      </c>
      <c r="U34" s="565"/>
      <c r="V34" s="377">
        <v>55.8</v>
      </c>
      <c r="W34" s="565"/>
      <c r="X34" s="377">
        <f>$AC34-SUM($D34:$V34)</f>
        <v>0</v>
      </c>
      <c r="Y34" s="565"/>
      <c r="Z34" s="377"/>
      <c r="AA34" s="274"/>
      <c r="AB34" s="535"/>
      <c r="AC34" s="542">
        <v>55.4</v>
      </c>
      <c r="AD34" s="297"/>
      <c r="AE34" s="1857"/>
      <c r="AF34" s="542">
        <v>0.8</v>
      </c>
      <c r="AG34" s="530"/>
      <c r="AH34" s="274"/>
      <c r="AI34" s="274">
        <f>_xlfn.SINGLE(ROUND(SUM(+AC34-AF34),1))</f>
        <v>54.6</v>
      </c>
      <c r="AJ34" s="374"/>
      <c r="AK34" s="621">
        <f>_xlfn.SINGLE(ROUND(IF(AF34=0,1,AI34/ABS(AF34)),3))</f>
        <v>68.25</v>
      </c>
      <c r="AL34" s="1610"/>
      <c r="AM34" s="1610"/>
      <c r="AP34" s="1302"/>
    </row>
    <row r="35" spans="1:42" ht="15" customHeight="1">
      <c r="A35" s="35"/>
      <c r="B35" s="432" t="s">
        <v>379</v>
      </c>
      <c r="C35" s="301"/>
      <c r="D35" s="377">
        <v>36.700000000000003</v>
      </c>
      <c r="E35" s="1139"/>
      <c r="F35" s="377">
        <v>39.5</v>
      </c>
      <c r="G35" s="377"/>
      <c r="H35" s="377">
        <v>42.7</v>
      </c>
      <c r="I35" s="274"/>
      <c r="J35" s="377">
        <v>41</v>
      </c>
      <c r="K35" s="565"/>
      <c r="L35" s="377">
        <v>43.499999999999986</v>
      </c>
      <c r="M35" s="565"/>
      <c r="N35" s="377">
        <v>40.699999999999989</v>
      </c>
      <c r="O35" s="565"/>
      <c r="P35" s="377">
        <v>38.800000000000011</v>
      </c>
      <c r="Q35" s="565"/>
      <c r="R35" s="377">
        <v>40.700000000000045</v>
      </c>
      <c r="S35" s="565"/>
      <c r="T35" s="377">
        <v>37.299999999999955</v>
      </c>
      <c r="U35" s="565"/>
      <c r="V35" s="377">
        <v>34</v>
      </c>
      <c r="W35" s="565"/>
      <c r="X35" s="377">
        <f>$AC35-SUM($D35:$V35)</f>
        <v>36.5</v>
      </c>
      <c r="Y35" s="565"/>
      <c r="Z35" s="377"/>
      <c r="AA35" s="274"/>
      <c r="AB35" s="535"/>
      <c r="AC35" s="542">
        <v>431.4</v>
      </c>
      <c r="AD35" s="297"/>
      <c r="AE35" s="1857"/>
      <c r="AF35" s="542">
        <v>451.6</v>
      </c>
      <c r="AG35" s="530"/>
      <c r="AH35" s="274"/>
      <c r="AI35" s="274">
        <f>_xlfn.SINGLE(ROUND(SUM(+AC35-AF35),1))</f>
        <v>-20.2</v>
      </c>
      <c r="AJ35" s="374"/>
      <c r="AK35" s="1878">
        <f>_xlfn.SINGLE(ROUND(IF(AF35=0,0,AI35/ABS(AF35)),3))</f>
        <v>-4.4999999999999998E-2</v>
      </c>
      <c r="AL35" s="1610"/>
      <c r="AM35" s="1610"/>
      <c r="AP35" s="1302"/>
    </row>
    <row r="36" spans="1:42" s="331" customFormat="1" ht="15" customHeight="1">
      <c r="A36" s="428"/>
      <c r="B36" s="3" t="s">
        <v>533</v>
      </c>
      <c r="C36" s="3"/>
      <c r="D36" s="687">
        <f>_xlfn.SINGLE(ROUND(SUM(D31:D35),1))</f>
        <v>312.10000000000002</v>
      </c>
      <c r="E36" s="13"/>
      <c r="F36" s="687">
        <f>_xlfn.SINGLE(ROUND(SUM(F31:F35),1))</f>
        <v>101.9</v>
      </c>
      <c r="G36" s="13"/>
      <c r="H36" s="687">
        <f>_xlfn.SINGLE(ROUND(SUM(H31:H35),1))</f>
        <v>429.2</v>
      </c>
      <c r="I36" s="13"/>
      <c r="J36" s="687">
        <f>_xlfn.SINGLE(ROUND(SUM(J31:J35),1))</f>
        <v>107</v>
      </c>
      <c r="K36" s="13"/>
      <c r="L36" s="687">
        <f>_xlfn.SINGLE(ROUND(SUM(L31:L35),1))</f>
        <v>75.099999999999994</v>
      </c>
      <c r="M36" s="13"/>
      <c r="N36" s="687">
        <f>_xlfn.SINGLE(ROUND(SUM(N31:N35),1))</f>
        <v>400.5</v>
      </c>
      <c r="O36" s="13"/>
      <c r="P36" s="687">
        <f>_xlfn.SINGLE(ROUND(SUM(P31:P35),1))</f>
        <v>135.9</v>
      </c>
      <c r="Q36" s="13"/>
      <c r="R36" s="687">
        <f>_xlfn.SINGLE(ROUND(SUM(R31:R35),1))</f>
        <v>69.900000000000006</v>
      </c>
      <c r="S36" s="13"/>
      <c r="T36" s="687">
        <f>_xlfn.SINGLE(ROUND(SUM(T31:T35),1))</f>
        <v>407.1</v>
      </c>
      <c r="U36" s="13"/>
      <c r="V36" s="687">
        <f>_xlfn.SINGLE(ROUND(SUM(V31:V35),1))</f>
        <v>161.19999999999999</v>
      </c>
      <c r="W36" s="13"/>
      <c r="X36" s="687">
        <f>_xlfn.SINGLE(ROUND(SUM(X31:X35),1))</f>
        <v>22.1</v>
      </c>
      <c r="Y36" s="13"/>
      <c r="Z36" s="687">
        <f>_xlfn.SINGLE(ROUND(SUM(Z31:Z35),1))</f>
        <v>0</v>
      </c>
      <c r="AA36" s="13"/>
      <c r="AB36" s="683"/>
      <c r="AC36" s="687">
        <f>ROUND(SUM(AC31:AC35),1)</f>
        <v>2222</v>
      </c>
      <c r="AD36" s="13"/>
      <c r="AE36" s="683"/>
      <c r="AF36" s="687">
        <f>ROUND(SUM(AF31:AF35),1)</f>
        <v>2116.6999999999998</v>
      </c>
      <c r="AG36" s="79"/>
      <c r="AH36" s="13"/>
      <c r="AI36" s="687">
        <f>_xlfn.SINGLE(ROUND(SUM(AI31:AI35),1))</f>
        <v>105.3</v>
      </c>
      <c r="AJ36" s="61"/>
      <c r="AK36" s="1041">
        <f>_xlfn.SINGLE(ROUND(IF(AF36=0,0,AI36/ABS(AF36)),3))</f>
        <v>0.05</v>
      </c>
      <c r="AL36" s="1610"/>
      <c r="AM36" s="1610"/>
      <c r="AN36" s="1612"/>
      <c r="AO36" s="1612"/>
      <c r="AP36" s="1302"/>
    </row>
    <row r="37" spans="1:42" ht="15" customHeight="1">
      <c r="A37" s="35"/>
      <c r="B37" s="3"/>
      <c r="C37" s="301"/>
      <c r="D37" s="274"/>
      <c r="E37" s="274"/>
      <c r="F37" s="274"/>
      <c r="G37" s="274"/>
      <c r="H37" s="274"/>
      <c r="I37" s="274"/>
      <c r="J37" s="274"/>
      <c r="K37" s="274"/>
      <c r="L37" s="274"/>
      <c r="M37" s="274"/>
      <c r="N37" s="274"/>
      <c r="O37" s="274"/>
      <c r="P37" s="274"/>
      <c r="Q37" s="274"/>
      <c r="R37" s="274"/>
      <c r="S37" s="274"/>
      <c r="T37" s="274"/>
      <c r="U37" s="274"/>
      <c r="V37" s="274"/>
      <c r="W37" s="274"/>
      <c r="X37" s="377"/>
      <c r="Y37" s="274"/>
      <c r="Z37" s="274"/>
      <c r="AA37" s="274"/>
      <c r="AB37" s="535"/>
      <c r="AC37" s="274"/>
      <c r="AD37" s="274"/>
      <c r="AE37" s="535"/>
      <c r="AF37" s="274"/>
      <c r="AG37" s="530"/>
      <c r="AH37" s="274"/>
      <c r="AI37" s="274"/>
      <c r="AJ37" s="374"/>
      <c r="AK37" s="374"/>
      <c r="AL37" s="1610"/>
      <c r="AM37" s="1610"/>
      <c r="AP37" s="1302"/>
    </row>
    <row r="38" spans="1:42" ht="15" customHeight="1">
      <c r="A38" s="35"/>
      <c r="B38" s="88" t="s">
        <v>446</v>
      </c>
      <c r="C38" s="301"/>
      <c r="D38" s="1070">
        <f>_xlfn.SINGLE(ROUND(SUM(D17+D29+D36),1))</f>
        <v>541.29999999999995</v>
      </c>
      <c r="E38" s="274"/>
      <c r="F38" s="1070">
        <f>_xlfn.SINGLE(ROUND(SUM(F17+F29+F36),1))</f>
        <v>259.10000000000002</v>
      </c>
      <c r="G38" s="274"/>
      <c r="H38" s="1070">
        <f>_xlfn.SINGLE(ROUND(SUM(H17+H29+H36),1))</f>
        <v>637.70000000000005</v>
      </c>
      <c r="I38" s="274"/>
      <c r="J38" s="1070">
        <f>_xlfn.SINGLE(ROUND(SUM(J17+J29+J36),1))</f>
        <v>279.39999999999998</v>
      </c>
      <c r="K38" s="274"/>
      <c r="L38" s="1070">
        <f>_xlfn.SINGLE(ROUND(SUM(L17+L29+L36),1))</f>
        <v>238.9</v>
      </c>
      <c r="M38" s="274"/>
      <c r="N38" s="1070">
        <f>_xlfn.SINGLE(ROUND(SUM(N17+N29+N36),1))</f>
        <v>623</v>
      </c>
      <c r="O38" s="274"/>
      <c r="P38" s="1070">
        <f>_xlfn.SINGLE(ROUND(SUM(P17+P29+P36),1))</f>
        <v>301.89999999999998</v>
      </c>
      <c r="Q38" s="274"/>
      <c r="R38" s="1070">
        <f>_xlfn.SINGLE(ROUND(SUM(R17+R29+R36),1))</f>
        <v>226.1</v>
      </c>
      <c r="S38" s="623"/>
      <c r="T38" s="1070">
        <f>_xlfn.SINGLE(ROUND(SUM(T17+T29+T36),1))</f>
        <v>635.1</v>
      </c>
      <c r="U38" s="274"/>
      <c r="V38" s="1070">
        <f>_xlfn.SINGLE(ROUND(SUM(V17+V29+V36),1))</f>
        <v>1776</v>
      </c>
      <c r="W38" s="274"/>
      <c r="X38" s="1070">
        <f>_xlfn.SINGLE(ROUND(SUM(X17+X29+X36),1))</f>
        <v>160.19999999999999</v>
      </c>
      <c r="Y38" s="274"/>
      <c r="Z38" s="1070">
        <f>_xlfn.SINGLE(ROUND(SUM(Z17+Z29+Z36),1))</f>
        <v>0</v>
      </c>
      <c r="AA38" s="274"/>
      <c r="AB38" s="534"/>
      <c r="AC38" s="1070">
        <f>ROUND(SUM(AC17+AC29+AC36),1)</f>
        <v>5678.7</v>
      </c>
      <c r="AD38" s="274"/>
      <c r="AE38" s="534"/>
      <c r="AF38" s="1070">
        <f>ROUND(SUM(AF17+AF29+AF36),1)</f>
        <v>5651.4</v>
      </c>
      <c r="AG38" s="1062"/>
      <c r="AH38" s="274"/>
      <c r="AI38" s="1070">
        <f>_xlfn.SINGLE(ROUND(SUM(AI17+AI29+AI36),1))</f>
        <v>27.3</v>
      </c>
      <c r="AJ38" s="274"/>
      <c r="AK38" s="1071">
        <f>_xlfn.SINGLE(ROUND(IF(AF38=0,0,AI38/ABS(AF38)),3))</f>
        <v>5.0000000000000001E-3</v>
      </c>
      <c r="AL38" s="1610"/>
      <c r="AM38" s="1610"/>
      <c r="AP38" s="1302"/>
    </row>
    <row r="39" spans="1:42" ht="15" customHeight="1">
      <c r="A39" s="35"/>
      <c r="B39" s="301"/>
      <c r="C39" s="301"/>
      <c r="D39" s="297"/>
      <c r="E39" s="274"/>
      <c r="F39" s="297"/>
      <c r="G39" s="274"/>
      <c r="H39" s="274"/>
      <c r="I39" s="274"/>
      <c r="J39" s="297"/>
      <c r="K39" s="274"/>
      <c r="L39" s="297"/>
      <c r="M39" s="274"/>
      <c r="N39" s="297"/>
      <c r="O39" s="274"/>
      <c r="P39" s="297"/>
      <c r="Q39" s="274"/>
      <c r="R39" s="297"/>
      <c r="S39" s="274"/>
      <c r="T39" s="297"/>
      <c r="U39" s="274"/>
      <c r="V39" s="297"/>
      <c r="W39" s="274"/>
      <c r="X39" s="377"/>
      <c r="Y39" s="274"/>
      <c r="Z39" s="297"/>
      <c r="AA39" s="274"/>
      <c r="AB39" s="534"/>
      <c r="AC39" s="298"/>
      <c r="AD39" s="377"/>
      <c r="AE39" s="535"/>
      <c r="AF39" s="298"/>
      <c r="AG39" s="1062"/>
      <c r="AH39" s="274"/>
      <c r="AI39" s="274"/>
      <c r="AJ39" s="274"/>
      <c r="AK39" s="293"/>
      <c r="AL39" s="1610"/>
      <c r="AM39" s="1610"/>
      <c r="AP39" s="1302"/>
    </row>
    <row r="40" spans="1:42" ht="15" customHeight="1">
      <c r="A40" s="35"/>
      <c r="B40" s="1248" t="s">
        <v>390</v>
      </c>
      <c r="C40" s="301"/>
      <c r="D40" s="297"/>
      <c r="E40" s="274"/>
      <c r="F40" s="297"/>
      <c r="G40" s="274"/>
      <c r="H40" s="274"/>
      <c r="I40" s="274"/>
      <c r="J40" s="297"/>
      <c r="K40" s="274"/>
      <c r="L40" s="297"/>
      <c r="M40" s="274"/>
      <c r="N40" s="297"/>
      <c r="O40" s="274"/>
      <c r="P40" s="297"/>
      <c r="Q40" s="274"/>
      <c r="R40" s="297"/>
      <c r="S40" s="274"/>
      <c r="T40" s="297"/>
      <c r="U40" s="274"/>
      <c r="V40" s="297"/>
      <c r="W40" s="274"/>
      <c r="X40" s="377"/>
      <c r="Y40" s="274"/>
      <c r="Z40" s="297"/>
      <c r="AA40" s="274"/>
      <c r="AB40" s="534"/>
      <c r="AC40" s="274"/>
      <c r="AD40" s="274"/>
      <c r="AE40" s="535"/>
      <c r="AF40" s="274"/>
      <c r="AG40" s="530"/>
      <c r="AH40" s="274"/>
      <c r="AI40" s="274"/>
      <c r="AJ40" s="274"/>
      <c r="AK40" s="293"/>
      <c r="AL40" s="1610"/>
      <c r="AM40" s="1610"/>
      <c r="AP40" s="1302"/>
    </row>
    <row r="41" spans="1:42" ht="15" customHeight="1">
      <c r="A41" s="35"/>
      <c r="B41" s="360" t="s">
        <v>391</v>
      </c>
      <c r="C41" s="301"/>
      <c r="D41" s="297"/>
      <c r="E41" s="274"/>
      <c r="F41" s="297"/>
      <c r="G41" s="274"/>
      <c r="H41" s="274"/>
      <c r="I41" s="274"/>
      <c r="J41" s="297"/>
      <c r="K41" s="274"/>
      <c r="L41" s="297"/>
      <c r="M41" s="274"/>
      <c r="N41" s="297"/>
      <c r="O41" s="274"/>
      <c r="P41" s="297"/>
      <c r="Q41" s="274"/>
      <c r="R41" s="297"/>
      <c r="S41" s="274"/>
      <c r="T41" s="297"/>
      <c r="U41" s="274"/>
      <c r="V41" s="297"/>
      <c r="W41" s="274"/>
      <c r="X41" s="377"/>
      <c r="Y41" s="274"/>
      <c r="Z41" s="297"/>
      <c r="AA41" s="274"/>
      <c r="AB41" s="534"/>
      <c r="AC41" s="274"/>
      <c r="AD41" s="274"/>
      <c r="AE41" s="535"/>
      <c r="AF41" s="274"/>
      <c r="AG41" s="530"/>
      <c r="AH41" s="274"/>
      <c r="AI41" s="274"/>
      <c r="AJ41" s="274"/>
      <c r="AK41" s="293"/>
      <c r="AL41" s="1610"/>
      <c r="AM41" s="1610"/>
      <c r="AP41" s="1302"/>
    </row>
    <row r="42" spans="1:42" ht="15" customHeight="1">
      <c r="A42" s="35"/>
      <c r="B42" s="360" t="s">
        <v>1453</v>
      </c>
      <c r="C42" s="301"/>
      <c r="D42" s="377">
        <v>1.1000000000000001</v>
      </c>
      <c r="E42" s="274"/>
      <c r="F42" s="377">
        <v>1</v>
      </c>
      <c r="G42" s="377"/>
      <c r="H42" s="377">
        <v>1</v>
      </c>
      <c r="I42" s="274"/>
      <c r="J42" s="377">
        <v>1.4</v>
      </c>
      <c r="K42" s="565"/>
      <c r="L42" s="377">
        <v>1.0000000000000004</v>
      </c>
      <c r="M42" s="1146"/>
      <c r="N42" s="377">
        <v>1.0999999999999996</v>
      </c>
      <c r="O42" s="565"/>
      <c r="P42" s="377">
        <v>1</v>
      </c>
      <c r="Q42" s="565"/>
      <c r="R42" s="377">
        <v>1.0999999999999996</v>
      </c>
      <c r="S42" s="565"/>
      <c r="T42" s="377">
        <v>1.4000000000000004</v>
      </c>
      <c r="U42" s="565"/>
      <c r="V42" s="377">
        <v>2.3000000000000007</v>
      </c>
      <c r="W42" s="565"/>
      <c r="X42" s="377">
        <f>$AC42-SUM($D42:$V42)</f>
        <v>8.2000000000000011</v>
      </c>
      <c r="Y42" s="565"/>
      <c r="Z42" s="377"/>
      <c r="AA42" s="274"/>
      <c r="AB42" s="535"/>
      <c r="AC42" s="542">
        <v>20.6</v>
      </c>
      <c r="AD42" s="297"/>
      <c r="AE42" s="1857"/>
      <c r="AF42" s="542">
        <v>16.399999999999999</v>
      </c>
      <c r="AG42" s="530"/>
      <c r="AH42" s="274"/>
      <c r="AI42" s="274">
        <f>_xlfn.SINGLE(ROUND(SUM(+AC42-AF42),1))</f>
        <v>4.2</v>
      </c>
      <c r="AJ42" s="274"/>
      <c r="AK42" s="293">
        <f>_xlfn.SINGLE(ROUND(IF(AF42=0,0,AI42/ABS(AF42)),3))</f>
        <v>0.25600000000000001</v>
      </c>
      <c r="AL42" s="1610"/>
      <c r="AM42" s="1610"/>
      <c r="AP42" s="1302"/>
    </row>
    <row r="43" spans="1:42" ht="15" customHeight="1">
      <c r="A43" s="35"/>
      <c r="B43" s="360" t="s">
        <v>394</v>
      </c>
      <c r="C43" s="301"/>
      <c r="D43" s="377" t="s">
        <v>103</v>
      </c>
      <c r="E43" s="274"/>
      <c r="F43" s="377"/>
      <c r="G43" s="377"/>
      <c r="H43" s="377"/>
      <c r="I43" s="274"/>
      <c r="J43" s="377"/>
      <c r="K43" s="274"/>
      <c r="L43" s="377"/>
      <c r="M43" s="1149"/>
      <c r="N43" s="377"/>
      <c r="O43" s="274"/>
      <c r="P43" s="377"/>
      <c r="Q43" s="274"/>
      <c r="R43" s="377"/>
      <c r="S43" s="274"/>
      <c r="T43" s="377"/>
      <c r="U43" s="274"/>
      <c r="V43" s="377"/>
      <c r="W43" s="274"/>
      <c r="X43" s="377"/>
      <c r="Y43" s="274"/>
      <c r="Z43" s="377"/>
      <c r="AA43" s="274"/>
      <c r="AB43" s="534"/>
      <c r="AC43" s="274" t="s">
        <v>103</v>
      </c>
      <c r="AD43" s="274"/>
      <c r="AE43" s="535"/>
      <c r="AF43" s="274" t="s">
        <v>103</v>
      </c>
      <c r="AG43" s="530"/>
      <c r="AH43" s="274"/>
      <c r="AI43" s="274"/>
      <c r="AJ43" s="274"/>
      <c r="AK43" s="293"/>
      <c r="AL43" s="1610"/>
      <c r="AM43" s="1610"/>
      <c r="AP43" s="1302"/>
    </row>
    <row r="44" spans="1:42" ht="15" customHeight="1">
      <c r="A44" s="35"/>
      <c r="B44" s="360" t="s">
        <v>1430</v>
      </c>
      <c r="C44" s="301"/>
      <c r="D44" s="377">
        <v>87</v>
      </c>
      <c r="E44" s="274"/>
      <c r="F44" s="377">
        <v>41.199999999999989</v>
      </c>
      <c r="G44" s="377"/>
      <c r="H44" s="377">
        <v>73.900000000000006</v>
      </c>
      <c r="I44" s="274"/>
      <c r="J44" s="377">
        <v>47.400000000000006</v>
      </c>
      <c r="K44" s="565"/>
      <c r="L44" s="377">
        <v>51</v>
      </c>
      <c r="M44" s="1146"/>
      <c r="N44" s="377">
        <v>54.399999999999977</v>
      </c>
      <c r="O44" s="565"/>
      <c r="P44" s="377">
        <v>105.39999999999998</v>
      </c>
      <c r="Q44" s="565"/>
      <c r="R44" s="377">
        <v>48.800000000000068</v>
      </c>
      <c r="S44" s="565"/>
      <c r="T44" s="377">
        <v>96.199999999999932</v>
      </c>
      <c r="U44" s="565"/>
      <c r="V44" s="377">
        <v>99.300000000000068</v>
      </c>
      <c r="W44" s="565"/>
      <c r="X44" s="377">
        <f>$AC44-SUM($D44:$V44)</f>
        <v>26.5</v>
      </c>
      <c r="Y44" s="565"/>
      <c r="Z44" s="377"/>
      <c r="AA44" s="274"/>
      <c r="AB44" s="535"/>
      <c r="AC44" s="542">
        <v>731.1</v>
      </c>
      <c r="AD44" s="297"/>
      <c r="AE44" s="1857"/>
      <c r="AF44" s="542">
        <v>613.6</v>
      </c>
      <c r="AG44" s="530"/>
      <c r="AH44" s="274"/>
      <c r="AI44" s="274">
        <f>_xlfn.SINGLE(ROUND(SUM(+AC44-AF44),1))</f>
        <v>117.5</v>
      </c>
      <c r="AJ44" s="274"/>
      <c r="AK44" s="293">
        <f>_xlfn.SINGLE(ROUND(IF(AF44=0,0,AI44/ABS(AF44)),3))</f>
        <v>0.191</v>
      </c>
      <c r="AL44" s="1610"/>
      <c r="AM44" s="1610"/>
      <c r="AP44" s="1302"/>
    </row>
    <row r="45" spans="1:42" ht="15" customHeight="1">
      <c r="A45" s="35"/>
      <c r="B45" s="360" t="s">
        <v>1431</v>
      </c>
      <c r="C45" s="301"/>
      <c r="D45" s="377">
        <v>663.6</v>
      </c>
      <c r="E45" s="274"/>
      <c r="F45" s="377">
        <v>621.30000000000007</v>
      </c>
      <c r="G45" s="377"/>
      <c r="H45" s="377">
        <v>694.79999999999984</v>
      </c>
      <c r="I45" s="274"/>
      <c r="J45" s="377">
        <v>692.30000000000007</v>
      </c>
      <c r="K45" s="565"/>
      <c r="L45" s="377">
        <v>599.8000000000003</v>
      </c>
      <c r="M45" s="1146"/>
      <c r="N45" s="377">
        <v>673.5999999999998</v>
      </c>
      <c r="O45" s="565"/>
      <c r="P45" s="377">
        <v>719.79999999999973</v>
      </c>
      <c r="Q45" s="565"/>
      <c r="R45" s="377">
        <v>654.80000000000018</v>
      </c>
      <c r="S45" s="565"/>
      <c r="T45" s="377">
        <v>737.80000000000018</v>
      </c>
      <c r="U45" s="565"/>
      <c r="V45" s="377">
        <v>506.59999999999945</v>
      </c>
      <c r="W45" s="565"/>
      <c r="X45" s="377">
        <f>$AC45-SUM($D45:$V45)</f>
        <v>712.5</v>
      </c>
      <c r="Y45" s="565"/>
      <c r="Z45" s="377"/>
      <c r="AA45" s="274"/>
      <c r="AB45" s="535"/>
      <c r="AC45" s="542">
        <v>7276.9</v>
      </c>
      <c r="AD45" s="297"/>
      <c r="AE45" s="1857"/>
      <c r="AF45" s="542">
        <v>6897.7</v>
      </c>
      <c r="AG45" s="530"/>
      <c r="AH45" s="274"/>
      <c r="AI45" s="274">
        <f>_xlfn.SINGLE(ROUND(SUM(+AC45-AF45),1))</f>
        <v>379.2</v>
      </c>
      <c r="AJ45" s="274"/>
      <c r="AK45" s="293">
        <f>_xlfn.SINGLE(ROUND(IF(AF45=0,0,AI45/ABS(AF45)),3))</f>
        <v>5.5E-2</v>
      </c>
      <c r="AL45" s="1610"/>
      <c r="AM45" s="1610"/>
      <c r="AP45" s="1302"/>
    </row>
    <row r="46" spans="1:42" ht="15" customHeight="1">
      <c r="A46" s="35"/>
      <c r="B46" s="360" t="s">
        <v>1432</v>
      </c>
      <c r="C46" s="301"/>
      <c r="D46" s="377">
        <v>3.7</v>
      </c>
      <c r="E46" s="274"/>
      <c r="F46" s="377">
        <v>-0.10000000000000009</v>
      </c>
      <c r="G46" s="377"/>
      <c r="H46" s="377">
        <v>0.89999999999999991</v>
      </c>
      <c r="I46" s="274"/>
      <c r="J46" s="377">
        <v>0</v>
      </c>
      <c r="K46" s="565"/>
      <c r="L46" s="377">
        <v>9.9999999999999645E-2</v>
      </c>
      <c r="M46" s="1146"/>
      <c r="N46" s="377">
        <v>57.4</v>
      </c>
      <c r="O46" s="565"/>
      <c r="P46" s="377">
        <v>-13.199999999999996</v>
      </c>
      <c r="Q46" s="565"/>
      <c r="R46" s="377">
        <v>-1.5000000000000071</v>
      </c>
      <c r="S46" s="565"/>
      <c r="T46" s="377">
        <v>0.70000000000000284</v>
      </c>
      <c r="U46" s="565"/>
      <c r="V46" s="377">
        <v>-0.39999999999999858</v>
      </c>
      <c r="W46" s="565"/>
      <c r="X46" s="377">
        <f>$AC46-SUM($D46:$V46)</f>
        <v>0.10000000000000142</v>
      </c>
      <c r="Y46" s="565"/>
      <c r="Z46" s="377"/>
      <c r="AA46" s="274"/>
      <c r="AB46" s="535"/>
      <c r="AC46" s="542">
        <v>47.7</v>
      </c>
      <c r="AD46" s="297"/>
      <c r="AE46" s="1857"/>
      <c r="AF46" s="542">
        <v>29.5</v>
      </c>
      <c r="AG46" s="530"/>
      <c r="AH46" s="274"/>
      <c r="AI46" s="274">
        <f>_xlfn.SINGLE(ROUND(SUM(+AC46-AF46),1))</f>
        <v>18.2</v>
      </c>
      <c r="AJ46" s="274"/>
      <c r="AK46" s="621">
        <f>_xlfn.SINGLE(ROUND(IF(AF46=0,0,AI46/ABS(AF46)),3))</f>
        <v>0.61699999999999999</v>
      </c>
      <c r="AL46" s="1610"/>
      <c r="AM46" s="1610"/>
      <c r="AP46" s="1302"/>
    </row>
    <row r="47" spans="1:42" ht="15" customHeight="1">
      <c r="A47" s="35"/>
      <c r="B47" s="360" t="s">
        <v>1454</v>
      </c>
      <c r="C47" s="301"/>
      <c r="D47" s="377">
        <v>0.1</v>
      </c>
      <c r="E47" s="274"/>
      <c r="F47" s="377">
        <v>0</v>
      </c>
      <c r="G47" s="377"/>
      <c r="H47" s="377">
        <v>0</v>
      </c>
      <c r="I47" s="274"/>
      <c r="J47" s="377">
        <v>0</v>
      </c>
      <c r="K47" s="565"/>
      <c r="L47" s="377">
        <v>0</v>
      </c>
      <c r="M47" s="1146"/>
      <c r="N47" s="377">
        <v>0.1</v>
      </c>
      <c r="O47" s="565"/>
      <c r="P47" s="377">
        <v>0</v>
      </c>
      <c r="Q47" s="565"/>
      <c r="R47" s="377">
        <v>0</v>
      </c>
      <c r="S47" s="565"/>
      <c r="T47" s="377">
        <v>0</v>
      </c>
      <c r="U47" s="565"/>
      <c r="V47" s="377">
        <v>9.9999999999999978E-2</v>
      </c>
      <c r="W47" s="565"/>
      <c r="X47" s="377">
        <f>$AC47-SUM($D47:$V47)</f>
        <v>0</v>
      </c>
      <c r="Y47" s="565"/>
      <c r="Z47" s="377"/>
      <c r="AA47" s="274"/>
      <c r="AB47" s="535"/>
      <c r="AC47" s="542">
        <v>0.3</v>
      </c>
      <c r="AD47" s="297"/>
      <c r="AE47" s="1857"/>
      <c r="AF47" s="542">
        <v>0.4</v>
      </c>
      <c r="AG47" s="530"/>
      <c r="AH47" s="274"/>
      <c r="AI47" s="274">
        <f>_xlfn.SINGLE(ROUND(SUM(+AC47-AF47),1))</f>
        <v>-0.1</v>
      </c>
      <c r="AJ47" s="274"/>
      <c r="AK47" s="293">
        <f>_xlfn.SINGLE(ROUND(IF(AF47=0,1,AI47/ABS(AF47)),3))</f>
        <v>-0.25</v>
      </c>
      <c r="AL47" s="1610"/>
      <c r="AM47" s="1610"/>
      <c r="AP47" s="1302"/>
    </row>
    <row r="48" spans="1:42" ht="15" customHeight="1">
      <c r="A48" s="35"/>
      <c r="B48" s="360" t="s">
        <v>399</v>
      </c>
      <c r="C48" s="301"/>
      <c r="D48" s="377" t="s">
        <v>103</v>
      </c>
      <c r="E48" s="274"/>
      <c r="F48" s="377"/>
      <c r="G48" s="377"/>
      <c r="H48" s="377"/>
      <c r="I48" s="274"/>
      <c r="J48" s="377"/>
      <c r="K48" s="274"/>
      <c r="L48" s="377"/>
      <c r="M48" s="1149"/>
      <c r="N48" s="377"/>
      <c r="O48" s="274"/>
      <c r="P48" s="377"/>
      <c r="Q48" s="274"/>
      <c r="R48" s="377"/>
      <c r="S48" s="274"/>
      <c r="T48" s="377"/>
      <c r="U48" s="274"/>
      <c r="V48" s="377"/>
      <c r="W48" s="274"/>
      <c r="X48" s="377"/>
      <c r="Y48" s="274"/>
      <c r="Z48" s="377"/>
      <c r="AA48" s="274"/>
      <c r="AB48" s="534"/>
      <c r="AC48" s="12" t="s">
        <v>103</v>
      </c>
      <c r="AD48" s="274"/>
      <c r="AE48" s="535"/>
      <c r="AF48" s="12" t="s">
        <v>103</v>
      </c>
      <c r="AG48" s="530"/>
      <c r="AH48" s="274"/>
      <c r="AI48" s="274"/>
      <c r="AJ48" s="274"/>
      <c r="AK48" s="293"/>
      <c r="AL48" s="1610"/>
      <c r="AM48" s="1610"/>
      <c r="AP48" s="1302"/>
    </row>
    <row r="49" spans="1:42" ht="15" customHeight="1">
      <c r="A49" s="35"/>
      <c r="B49" s="360" t="s">
        <v>1455</v>
      </c>
      <c r="C49" s="301"/>
      <c r="D49" s="377">
        <v>0</v>
      </c>
      <c r="E49" s="274"/>
      <c r="F49" s="377">
        <v>0.1</v>
      </c>
      <c r="G49" s="377"/>
      <c r="H49" s="377">
        <v>0.8</v>
      </c>
      <c r="I49" s="274"/>
      <c r="J49" s="377">
        <v>1.3999999999999997</v>
      </c>
      <c r="K49" s="565"/>
      <c r="L49" s="377">
        <v>0.20000000000000018</v>
      </c>
      <c r="M49" s="1146"/>
      <c r="N49" s="377">
        <v>0</v>
      </c>
      <c r="O49" s="565"/>
      <c r="P49" s="377">
        <v>0</v>
      </c>
      <c r="Q49" s="565"/>
      <c r="R49" s="377">
        <v>0</v>
      </c>
      <c r="S49" s="565"/>
      <c r="T49" s="377">
        <v>0</v>
      </c>
      <c r="U49" s="565"/>
      <c r="V49" s="377">
        <v>0</v>
      </c>
      <c r="W49" s="565"/>
      <c r="X49" s="377">
        <f t="shared" ref="X49:X55" si="2">$AC49-SUM($D49:$V49)</f>
        <v>0</v>
      </c>
      <c r="Y49" s="565"/>
      <c r="Z49" s="377"/>
      <c r="AA49" s="274"/>
      <c r="AB49" s="535"/>
      <c r="AC49" s="542">
        <v>2.5</v>
      </c>
      <c r="AD49" s="297"/>
      <c r="AE49" s="1857"/>
      <c r="AF49" s="542">
        <v>2.7</v>
      </c>
      <c r="AG49" s="530"/>
      <c r="AH49" s="274"/>
      <c r="AI49" s="274">
        <f t="shared" ref="AI49:AI55" si="3">_xlfn.SINGLE(ROUND(SUM(+AC49-AF49),1))</f>
        <v>-0.2</v>
      </c>
      <c r="AJ49" s="274"/>
      <c r="AK49" s="276">
        <f>_xlfn.SINGLE(ROUND(IF(AF49=0,1,AI49/ABS(AF49)),3))</f>
        <v>-7.3999999999999996E-2</v>
      </c>
      <c r="AL49" s="1610"/>
      <c r="AM49" s="1610"/>
      <c r="AP49" s="1302"/>
    </row>
    <row r="50" spans="1:42" ht="15" customHeight="1">
      <c r="A50" s="35"/>
      <c r="B50" s="360" t="s">
        <v>1456</v>
      </c>
      <c r="C50" s="301"/>
      <c r="D50" s="377">
        <v>41.5</v>
      </c>
      <c r="E50" s="274"/>
      <c r="F50" s="377">
        <v>41.099999999999994</v>
      </c>
      <c r="G50" s="377"/>
      <c r="H50" s="377">
        <v>79</v>
      </c>
      <c r="I50" s="274"/>
      <c r="J50" s="377">
        <v>60.900000000000006</v>
      </c>
      <c r="K50" s="565"/>
      <c r="L50" s="377">
        <v>68.600000000000023</v>
      </c>
      <c r="M50" s="1146"/>
      <c r="N50" s="377">
        <v>69.700000000000017</v>
      </c>
      <c r="O50" s="565"/>
      <c r="P50" s="377">
        <v>48.999999999999943</v>
      </c>
      <c r="Q50" s="565"/>
      <c r="R50" s="377">
        <v>46.099999999999966</v>
      </c>
      <c r="S50" s="565"/>
      <c r="T50" s="377">
        <v>99.399999999999977</v>
      </c>
      <c r="U50" s="565"/>
      <c r="V50" s="377">
        <v>99.600000000000023</v>
      </c>
      <c r="W50" s="565"/>
      <c r="X50" s="377">
        <f t="shared" si="2"/>
        <v>41.300000000000068</v>
      </c>
      <c r="Y50" s="565"/>
      <c r="Z50" s="377"/>
      <c r="AA50" s="274"/>
      <c r="AB50" s="535"/>
      <c r="AC50" s="542">
        <v>696.2</v>
      </c>
      <c r="AD50" s="297"/>
      <c r="AE50" s="1857"/>
      <c r="AF50" s="542">
        <v>677.3</v>
      </c>
      <c r="AG50" s="530"/>
      <c r="AH50" s="274"/>
      <c r="AI50" s="274">
        <f t="shared" si="3"/>
        <v>18.899999999999999</v>
      </c>
      <c r="AJ50" s="274"/>
      <c r="AK50" s="293">
        <f>_xlfn.SINGLE(ROUND(IF(AF50=0,0,AI50/ABS(AF50)),3))</f>
        <v>2.8000000000000001E-2</v>
      </c>
      <c r="AL50" s="1610"/>
      <c r="AM50" s="1610"/>
      <c r="AP50" s="1302"/>
    </row>
    <row r="51" spans="1:42" ht="15" customHeight="1">
      <c r="A51" s="35"/>
      <c r="B51" s="360" t="s">
        <v>495</v>
      </c>
      <c r="C51" s="301"/>
      <c r="D51" s="377">
        <v>3.6</v>
      </c>
      <c r="E51" s="274"/>
      <c r="F51" s="377">
        <v>3.4</v>
      </c>
      <c r="G51" s="377"/>
      <c r="H51" s="377">
        <v>5.9</v>
      </c>
      <c r="I51" s="274"/>
      <c r="J51" s="377">
        <v>4.0999999999999996</v>
      </c>
      <c r="K51" s="565"/>
      <c r="L51" s="377">
        <v>3.9999999999999982</v>
      </c>
      <c r="M51" s="1146"/>
      <c r="N51" s="377">
        <v>5.5000000000000018</v>
      </c>
      <c r="O51" s="565"/>
      <c r="P51" s="377">
        <v>4.6000000000000014</v>
      </c>
      <c r="Q51" s="565"/>
      <c r="R51" s="377">
        <v>4.2999999999999972</v>
      </c>
      <c r="S51" s="565"/>
      <c r="T51" s="377">
        <v>4.3999999999999986</v>
      </c>
      <c r="U51" s="565"/>
      <c r="V51" s="377">
        <v>5.1000000000000014</v>
      </c>
      <c r="W51" s="565"/>
      <c r="X51" s="377">
        <f t="shared" si="2"/>
        <v>5</v>
      </c>
      <c r="Y51" s="565"/>
      <c r="Z51" s="377"/>
      <c r="AA51" s="274"/>
      <c r="AB51" s="535"/>
      <c r="AC51" s="542">
        <v>49.9</v>
      </c>
      <c r="AD51" s="297"/>
      <c r="AE51" s="1857"/>
      <c r="AF51" s="542">
        <v>48.5</v>
      </c>
      <c r="AG51" s="530"/>
      <c r="AH51" s="274"/>
      <c r="AI51" s="274">
        <f t="shared" si="3"/>
        <v>1.4</v>
      </c>
      <c r="AJ51" s="274"/>
      <c r="AK51" s="293">
        <f>_xlfn.SINGLE(ROUND(IF(AF51=0,0,AI51/ABS(AF51)),3))</f>
        <v>2.9000000000000001E-2</v>
      </c>
      <c r="AL51" s="1610"/>
      <c r="AM51" s="1610"/>
      <c r="AP51" s="1302"/>
    </row>
    <row r="52" spans="1:42" ht="15" customHeight="1">
      <c r="A52" s="35"/>
      <c r="B52" s="360" t="s">
        <v>496</v>
      </c>
      <c r="C52" s="301"/>
      <c r="D52" s="377">
        <v>0.2</v>
      </c>
      <c r="E52" s="274"/>
      <c r="F52" s="377">
        <v>0.3</v>
      </c>
      <c r="G52" s="377"/>
      <c r="H52" s="377">
        <v>0.60000000000000009</v>
      </c>
      <c r="I52" s="274"/>
      <c r="J52" s="377">
        <v>0</v>
      </c>
      <c r="K52" s="565"/>
      <c r="L52" s="377">
        <v>0.39999999999999991</v>
      </c>
      <c r="M52" s="1146"/>
      <c r="N52" s="377">
        <v>0.60000000000000009</v>
      </c>
      <c r="O52" s="565"/>
      <c r="P52" s="377">
        <v>0.29999999999999982</v>
      </c>
      <c r="Q52" s="565"/>
      <c r="R52" s="377">
        <v>1</v>
      </c>
      <c r="S52" s="565"/>
      <c r="T52" s="377">
        <v>0.20000000000000018</v>
      </c>
      <c r="U52" s="565"/>
      <c r="V52" s="377">
        <v>0.19999999999999973</v>
      </c>
      <c r="W52" s="565"/>
      <c r="X52" s="377">
        <f t="shared" si="2"/>
        <v>0.10000000000000009</v>
      </c>
      <c r="Y52" s="565"/>
      <c r="Z52" s="377"/>
      <c r="AA52" s="274"/>
      <c r="AB52" s="535"/>
      <c r="AC52" s="542">
        <v>3.9</v>
      </c>
      <c r="AD52" s="297"/>
      <c r="AE52" s="1857"/>
      <c r="AF52" s="542">
        <v>5.3</v>
      </c>
      <c r="AG52" s="530"/>
      <c r="AH52" s="274"/>
      <c r="AI52" s="274">
        <f t="shared" si="3"/>
        <v>-1.4</v>
      </c>
      <c r="AJ52" s="274"/>
      <c r="AK52" s="293">
        <f>_xlfn.SINGLE(ROUND(IF(AF52=0,1,AI52/ABS(AF52)),3))</f>
        <v>-0.26400000000000001</v>
      </c>
      <c r="AL52" s="1610"/>
      <c r="AM52" s="1610"/>
      <c r="AP52" s="1302"/>
    </row>
    <row r="53" spans="1:42" ht="15" customHeight="1">
      <c r="A53" s="35"/>
      <c r="B53" s="360" t="s">
        <v>1435</v>
      </c>
      <c r="C53" s="301"/>
      <c r="D53" s="377">
        <v>11.4</v>
      </c>
      <c r="E53" s="274"/>
      <c r="F53" s="377">
        <v>15.9</v>
      </c>
      <c r="G53" s="377"/>
      <c r="H53" s="377">
        <v>18.600000000000001</v>
      </c>
      <c r="I53" s="274"/>
      <c r="J53" s="377">
        <v>48.399999999999984</v>
      </c>
      <c r="K53" s="565"/>
      <c r="L53" s="377">
        <v>15.899999999999999</v>
      </c>
      <c r="M53" s="1146"/>
      <c r="N53" s="377">
        <v>31.100000000000023</v>
      </c>
      <c r="O53" s="565"/>
      <c r="P53" s="377">
        <v>20.699999999999989</v>
      </c>
      <c r="Q53" s="565"/>
      <c r="R53" s="377">
        <v>19.099999999999994</v>
      </c>
      <c r="S53" s="565"/>
      <c r="T53" s="377">
        <v>17</v>
      </c>
      <c r="U53" s="565"/>
      <c r="V53" s="377">
        <v>22.700000000000017</v>
      </c>
      <c r="W53" s="565"/>
      <c r="X53" s="377">
        <f t="shared" si="2"/>
        <v>14.099999999999994</v>
      </c>
      <c r="Y53" s="565"/>
      <c r="Z53" s="377"/>
      <c r="AA53" s="274"/>
      <c r="AB53" s="535"/>
      <c r="AC53" s="542">
        <v>234.9</v>
      </c>
      <c r="AD53" s="297"/>
      <c r="AE53" s="1857"/>
      <c r="AF53" s="542">
        <v>275.5</v>
      </c>
      <c r="AG53" s="530"/>
      <c r="AH53" s="274"/>
      <c r="AI53" s="274">
        <f t="shared" si="3"/>
        <v>-40.6</v>
      </c>
      <c r="AJ53" s="274"/>
      <c r="AK53" s="293">
        <f>_xlfn.SINGLE(ROUND(IF(AF53=0,0,AI53/ABS(AF53)),3))</f>
        <v>-0.14699999999999999</v>
      </c>
      <c r="AL53" s="1610"/>
      <c r="AM53" s="1610"/>
      <c r="AP53" s="1302"/>
    </row>
    <row r="54" spans="1:42" ht="15" customHeight="1">
      <c r="A54" s="35"/>
      <c r="B54" s="360" t="s">
        <v>1436</v>
      </c>
      <c r="C54" s="301"/>
      <c r="D54" s="377">
        <v>58.3</v>
      </c>
      <c r="E54" s="274"/>
      <c r="F54" s="377">
        <v>46.3</v>
      </c>
      <c r="G54" s="377"/>
      <c r="H54" s="377">
        <v>79</v>
      </c>
      <c r="I54" s="274"/>
      <c r="J54" s="377">
        <v>52.399999999999977</v>
      </c>
      <c r="K54" s="565"/>
      <c r="L54" s="377">
        <v>84.399999999999977</v>
      </c>
      <c r="M54" s="1146"/>
      <c r="N54" s="377">
        <v>151.60000000000002</v>
      </c>
      <c r="O54" s="565"/>
      <c r="P54" s="377">
        <v>92.399999999999977</v>
      </c>
      <c r="Q54" s="565"/>
      <c r="R54" s="377">
        <v>80.700000000000045</v>
      </c>
      <c r="S54" s="565"/>
      <c r="T54" s="377">
        <v>34.899999999999977</v>
      </c>
      <c r="U54" s="565"/>
      <c r="V54" s="377">
        <v>168.29999999999995</v>
      </c>
      <c r="W54" s="565"/>
      <c r="X54" s="377">
        <f t="shared" si="2"/>
        <v>127.80000000000007</v>
      </c>
      <c r="Y54" s="565"/>
      <c r="Z54" s="377"/>
      <c r="AA54" s="274"/>
      <c r="AB54" s="535"/>
      <c r="AC54" s="542">
        <v>976.1</v>
      </c>
      <c r="AD54" s="297"/>
      <c r="AE54" s="1857"/>
      <c r="AF54" s="542">
        <v>996.2</v>
      </c>
      <c r="AG54" s="530"/>
      <c r="AH54" s="274"/>
      <c r="AI54" s="274">
        <f t="shared" si="3"/>
        <v>-20.100000000000001</v>
      </c>
      <c r="AJ54" s="274"/>
      <c r="AK54" s="293">
        <f>_xlfn.SINGLE(ROUND(IF(AF54=0,0,AI54/ABS(AF54)),3))</f>
        <v>-0.02</v>
      </c>
      <c r="AL54" s="1610"/>
      <c r="AM54" s="1610"/>
      <c r="AP54" s="1302"/>
    </row>
    <row r="55" spans="1:42" ht="15" customHeight="1">
      <c r="A55" s="35"/>
      <c r="B55" s="360" t="s">
        <v>1427</v>
      </c>
      <c r="C55" s="301"/>
      <c r="D55" s="377">
        <v>8.9</v>
      </c>
      <c r="E55" s="274"/>
      <c r="F55" s="377">
        <v>10.6</v>
      </c>
      <c r="G55" s="377"/>
      <c r="H55" s="377">
        <v>4.5</v>
      </c>
      <c r="I55" s="274"/>
      <c r="J55" s="377">
        <v>3.0000000000000018</v>
      </c>
      <c r="K55" s="565"/>
      <c r="L55" s="377">
        <v>9.6</v>
      </c>
      <c r="M55" s="1146"/>
      <c r="N55" s="377">
        <v>20.299999999999997</v>
      </c>
      <c r="O55" s="565"/>
      <c r="P55" s="377">
        <v>22.199999999999996</v>
      </c>
      <c r="Q55" s="565"/>
      <c r="R55" s="377">
        <v>8.6000000000000085</v>
      </c>
      <c r="S55" s="565"/>
      <c r="T55" s="377">
        <v>4.3999999999999915</v>
      </c>
      <c r="U55" s="565"/>
      <c r="V55" s="377">
        <v>13.400000000000006</v>
      </c>
      <c r="W55" s="565"/>
      <c r="X55" s="377">
        <f t="shared" si="2"/>
        <v>10.599999999999994</v>
      </c>
      <c r="Y55" s="565"/>
      <c r="Z55" s="377"/>
      <c r="AA55" s="274"/>
      <c r="AB55" s="535"/>
      <c r="AC55" s="542">
        <v>116.1</v>
      </c>
      <c r="AD55" s="297"/>
      <c r="AE55" s="1857"/>
      <c r="AF55" s="542">
        <v>118.3</v>
      </c>
      <c r="AG55" s="530"/>
      <c r="AH55" s="274"/>
      <c r="AI55" s="274">
        <f t="shared" si="3"/>
        <v>-2.2000000000000002</v>
      </c>
      <c r="AJ55" s="274"/>
      <c r="AK55" s="553">
        <f>_xlfn.SINGLE(ROUND(IF(AF55=0,0,AI55/ABS(AF55)),3))</f>
        <v>-1.9E-2</v>
      </c>
      <c r="AL55" s="1610"/>
      <c r="AM55" s="1610"/>
      <c r="AP55" s="1302"/>
    </row>
    <row r="56" spans="1:42" ht="15" customHeight="1">
      <c r="A56" s="35"/>
      <c r="B56" s="360" t="s">
        <v>408</v>
      </c>
      <c r="C56" s="301"/>
      <c r="D56" s="377" t="s">
        <v>103</v>
      </c>
      <c r="E56" s="274"/>
      <c r="F56" s="377"/>
      <c r="G56" s="377"/>
      <c r="H56" s="377"/>
      <c r="I56" s="274"/>
      <c r="J56" s="377"/>
      <c r="K56" s="274"/>
      <c r="L56" s="377"/>
      <c r="M56" s="1149"/>
      <c r="N56" s="377"/>
      <c r="O56" s="274"/>
      <c r="P56" s="377"/>
      <c r="Q56" s="274"/>
      <c r="R56" s="377"/>
      <c r="S56" s="274"/>
      <c r="T56" s="377"/>
      <c r="U56" s="274"/>
      <c r="V56" s="377"/>
      <c r="W56" s="274"/>
      <c r="X56" s="377"/>
      <c r="Y56" s="274"/>
      <c r="Z56" s="377"/>
      <c r="AA56" s="274"/>
      <c r="AB56" s="534"/>
      <c r="AC56" s="274" t="s">
        <v>103</v>
      </c>
      <c r="AD56" s="274"/>
      <c r="AE56" s="535"/>
      <c r="AF56" s="274" t="s">
        <v>103</v>
      </c>
      <c r="AG56" s="530"/>
      <c r="AH56" s="274"/>
      <c r="AI56" s="274"/>
      <c r="AJ56" s="274"/>
      <c r="AK56" s="293"/>
      <c r="AL56" s="1610"/>
      <c r="AM56" s="1610"/>
      <c r="AP56" s="1302"/>
    </row>
    <row r="57" spans="1:42" ht="15" customHeight="1">
      <c r="A57" s="35"/>
      <c r="B57" s="360" t="s">
        <v>1457</v>
      </c>
      <c r="C57" s="301"/>
      <c r="D57" s="377">
        <v>42.2</v>
      </c>
      <c r="E57" s="274"/>
      <c r="F57" s="377">
        <v>16.299999999999997</v>
      </c>
      <c r="G57" s="377"/>
      <c r="H57" s="377">
        <v>13</v>
      </c>
      <c r="I57" s="274"/>
      <c r="J57" s="377">
        <v>38.900000000000006</v>
      </c>
      <c r="K57" s="565"/>
      <c r="L57" s="377">
        <v>14</v>
      </c>
      <c r="M57" s="1146"/>
      <c r="N57" s="377">
        <v>13.199999999999989</v>
      </c>
      <c r="O57" s="565"/>
      <c r="P57" s="377">
        <v>43.200000000000017</v>
      </c>
      <c r="Q57" s="565"/>
      <c r="R57" s="377">
        <v>12.699999999999989</v>
      </c>
      <c r="S57" s="565"/>
      <c r="T57" s="377">
        <v>13.5</v>
      </c>
      <c r="U57" s="565"/>
      <c r="V57" s="377">
        <v>38.800000000000011</v>
      </c>
      <c r="W57" s="565"/>
      <c r="X57" s="377">
        <f t="shared" ref="X57:X62" si="4">$AC57-SUM($D57:$V57)</f>
        <v>12.199999999999989</v>
      </c>
      <c r="Y57" s="565"/>
      <c r="Z57" s="377"/>
      <c r="AA57" s="274"/>
      <c r="AB57" s="535"/>
      <c r="AC57" s="542">
        <v>258</v>
      </c>
      <c r="AD57" s="297"/>
      <c r="AE57" s="1857"/>
      <c r="AF57" s="542">
        <v>343.9</v>
      </c>
      <c r="AG57" s="530"/>
      <c r="AH57" s="274"/>
      <c r="AI57" s="274">
        <f t="shared" ref="AI57:AI62" si="5">_xlfn.SINGLE(ROUND(SUM(+AC57-AF57),1))</f>
        <v>-85.9</v>
      </c>
      <c r="AJ57" s="274"/>
      <c r="AK57" s="553">
        <f>_xlfn.SINGLE(ROUND(IF(AF57=0,1,AI57/ABS(AF57)),3))</f>
        <v>-0.25</v>
      </c>
      <c r="AL57" s="1610"/>
      <c r="AM57" s="1610"/>
      <c r="AP57" s="1302"/>
    </row>
    <row r="58" spans="1:42" ht="15" customHeight="1">
      <c r="A58" s="35"/>
      <c r="B58" s="360" t="s">
        <v>1458</v>
      </c>
      <c r="C58" s="301"/>
      <c r="D58" s="377">
        <v>205.3</v>
      </c>
      <c r="E58" s="274"/>
      <c r="F58" s="377">
        <v>227.2</v>
      </c>
      <c r="G58" s="377"/>
      <c r="H58" s="377">
        <v>179.20000000000005</v>
      </c>
      <c r="I58" s="274"/>
      <c r="J58" s="377">
        <v>217.8</v>
      </c>
      <c r="K58" s="565"/>
      <c r="L58" s="377">
        <v>177.39999999999981</v>
      </c>
      <c r="M58" s="1146"/>
      <c r="N58" s="377">
        <v>183.70000000000005</v>
      </c>
      <c r="O58" s="565"/>
      <c r="P58" s="377">
        <v>218.30000000000018</v>
      </c>
      <c r="Q58" s="565"/>
      <c r="R58" s="377">
        <v>175.59999999999991</v>
      </c>
      <c r="S58" s="565"/>
      <c r="T58" s="377">
        <v>184.90000000000009</v>
      </c>
      <c r="U58" s="565"/>
      <c r="V58" s="377">
        <v>232.89999999999986</v>
      </c>
      <c r="W58" s="565"/>
      <c r="X58" s="377">
        <f t="shared" si="4"/>
        <v>172.29999999999995</v>
      </c>
      <c r="Y58" s="565"/>
      <c r="Z58" s="377"/>
      <c r="AA58" s="274"/>
      <c r="AB58" s="535"/>
      <c r="AC58" s="542">
        <v>2174.6</v>
      </c>
      <c r="AD58" s="297"/>
      <c r="AE58" s="1857"/>
      <c r="AF58" s="542">
        <v>2276.4</v>
      </c>
      <c r="AG58" s="530"/>
      <c r="AH58" s="274"/>
      <c r="AI58" s="274">
        <f t="shared" si="5"/>
        <v>-101.8</v>
      </c>
      <c r="AJ58" s="274"/>
      <c r="AK58" s="293">
        <f>_xlfn.SINGLE(ROUND(IF(AF58=0,0,AI58/ABS(AF58)),3))</f>
        <v>-4.4999999999999998E-2</v>
      </c>
      <c r="AL58" s="1610"/>
      <c r="AM58" s="1610"/>
      <c r="AP58" s="1302"/>
    </row>
    <row r="59" spans="1:42" ht="15" customHeight="1">
      <c r="A59" s="35"/>
      <c r="B59" s="360" t="s">
        <v>1459</v>
      </c>
      <c r="C59" s="301"/>
      <c r="D59" s="377">
        <v>87.3</v>
      </c>
      <c r="E59" s="274"/>
      <c r="F59" s="377">
        <v>104.7</v>
      </c>
      <c r="G59" s="377"/>
      <c r="H59" s="377">
        <v>69.199999999999974</v>
      </c>
      <c r="I59" s="274"/>
      <c r="J59" s="377">
        <v>81.000000000000014</v>
      </c>
      <c r="K59" s="565"/>
      <c r="L59" s="377">
        <v>56.499999999999986</v>
      </c>
      <c r="M59" s="1146"/>
      <c r="N59" s="377">
        <v>89.400000000000048</v>
      </c>
      <c r="O59" s="565"/>
      <c r="P59" s="377">
        <v>98.699999999999932</v>
      </c>
      <c r="Q59" s="565"/>
      <c r="R59" s="377">
        <v>108.60000000000002</v>
      </c>
      <c r="S59" s="565"/>
      <c r="T59" s="377">
        <v>95</v>
      </c>
      <c r="U59" s="565"/>
      <c r="V59" s="377">
        <v>140.89999999999998</v>
      </c>
      <c r="W59" s="565"/>
      <c r="X59" s="377">
        <f t="shared" si="4"/>
        <v>101.60000000000014</v>
      </c>
      <c r="Y59" s="565"/>
      <c r="Z59" s="377"/>
      <c r="AA59" s="274"/>
      <c r="AB59" s="535"/>
      <c r="AC59" s="542">
        <v>1032.9000000000001</v>
      </c>
      <c r="AD59" s="297"/>
      <c r="AE59" s="1857"/>
      <c r="AF59" s="542">
        <v>818.8</v>
      </c>
      <c r="AG59" s="530"/>
      <c r="AH59" s="274"/>
      <c r="AI59" s="274">
        <f t="shared" si="5"/>
        <v>214.1</v>
      </c>
      <c r="AJ59" s="274"/>
      <c r="AK59" s="293">
        <f>_xlfn.SINGLE(ROUND(IF(AF59=0,1,AI59/ABS(AF59)),3))</f>
        <v>0.26100000000000001</v>
      </c>
      <c r="AL59" s="1610"/>
      <c r="AM59" s="1610"/>
      <c r="AP59" s="1302"/>
    </row>
    <row r="60" spans="1:42" ht="15" customHeight="1">
      <c r="A60" s="35"/>
      <c r="B60" s="360" t="s">
        <v>1460</v>
      </c>
      <c r="C60" s="301"/>
      <c r="D60" s="377">
        <v>81.099999999999994</v>
      </c>
      <c r="E60" s="274"/>
      <c r="F60" s="377">
        <v>94.200000000000017</v>
      </c>
      <c r="G60" s="377"/>
      <c r="H60" s="377">
        <v>76.899999999999977</v>
      </c>
      <c r="I60" s="274"/>
      <c r="J60" s="377">
        <v>108.10000000000005</v>
      </c>
      <c r="K60" s="565"/>
      <c r="L60" s="377">
        <v>85.699999999999903</v>
      </c>
      <c r="M60" s="1146"/>
      <c r="N60" s="377">
        <v>85.899999999999977</v>
      </c>
      <c r="O60" s="565"/>
      <c r="P60" s="377">
        <v>106.60000000000002</v>
      </c>
      <c r="Q60" s="565"/>
      <c r="R60" s="377">
        <v>83.799999999999955</v>
      </c>
      <c r="S60" s="565"/>
      <c r="T60" s="377">
        <v>80</v>
      </c>
      <c r="U60" s="565"/>
      <c r="V60" s="377">
        <v>107.20000000000005</v>
      </c>
      <c r="W60" s="565"/>
      <c r="X60" s="377">
        <f t="shared" si="4"/>
        <v>83.200000000000045</v>
      </c>
      <c r="Y60" s="565"/>
      <c r="Z60" s="377"/>
      <c r="AA60" s="274"/>
      <c r="AB60" s="535"/>
      <c r="AC60" s="542">
        <v>992.7</v>
      </c>
      <c r="AD60" s="297"/>
      <c r="AE60" s="1857"/>
      <c r="AF60" s="542">
        <v>957.8</v>
      </c>
      <c r="AG60" s="530"/>
      <c r="AH60" s="274"/>
      <c r="AI60" s="274">
        <f t="shared" si="5"/>
        <v>34.9</v>
      </c>
      <c r="AJ60" s="274"/>
      <c r="AK60" s="621">
        <f>_xlfn.SINGLE(ROUND(IF(AF60=0,1,AI60/ABS(AF60)),3))</f>
        <v>3.5999999999999997E-2</v>
      </c>
      <c r="AL60" s="1610"/>
      <c r="AM60" s="1610"/>
      <c r="AP60" s="1302"/>
    </row>
    <row r="61" spans="1:42" ht="15" customHeight="1">
      <c r="A61" s="35"/>
      <c r="B61" s="360" t="s">
        <v>1461</v>
      </c>
      <c r="C61" s="301"/>
      <c r="D61" s="377">
        <v>70</v>
      </c>
      <c r="E61" s="274"/>
      <c r="F61" s="377">
        <v>63.400000000000006</v>
      </c>
      <c r="G61" s="377"/>
      <c r="H61" s="377">
        <v>77.299999999999983</v>
      </c>
      <c r="I61" s="274"/>
      <c r="J61" s="377">
        <v>69</v>
      </c>
      <c r="K61" s="565"/>
      <c r="L61" s="377">
        <v>73</v>
      </c>
      <c r="M61" s="1146"/>
      <c r="N61" s="377">
        <v>71.200000000000017</v>
      </c>
      <c r="O61" s="565"/>
      <c r="P61" s="377">
        <v>71.200000000000045</v>
      </c>
      <c r="Q61" s="565"/>
      <c r="R61" s="377">
        <v>66.399999999999977</v>
      </c>
      <c r="S61" s="565"/>
      <c r="T61" s="377">
        <v>61.299999999999955</v>
      </c>
      <c r="U61" s="565"/>
      <c r="V61" s="377">
        <v>65.100000000000023</v>
      </c>
      <c r="W61" s="565"/>
      <c r="X61" s="377">
        <f t="shared" si="4"/>
        <v>57.899999999999977</v>
      </c>
      <c r="Y61" s="565"/>
      <c r="Z61" s="377"/>
      <c r="AA61" s="274"/>
      <c r="AB61" s="535"/>
      <c r="AC61" s="542">
        <v>745.8</v>
      </c>
      <c r="AD61" s="297"/>
      <c r="AE61" s="1857"/>
      <c r="AF61" s="542">
        <v>746.5</v>
      </c>
      <c r="AG61" s="530"/>
      <c r="AH61" s="274"/>
      <c r="AI61" s="274">
        <f t="shared" si="5"/>
        <v>-0.7</v>
      </c>
      <c r="AJ61" s="274"/>
      <c r="AK61" s="621">
        <f>_xlfn.SINGLE(ROUND(IF(AF61=0,0,AI61/ABS(AF61)),3))</f>
        <v>-1E-3</v>
      </c>
      <c r="AL61" s="1610"/>
      <c r="AM61" s="1610"/>
      <c r="AP61" s="1302"/>
    </row>
    <row r="62" spans="1:42" ht="15" customHeight="1">
      <c r="A62" s="35"/>
      <c r="B62" s="360" t="s">
        <v>1438</v>
      </c>
      <c r="C62" s="301"/>
      <c r="D62" s="377">
        <v>6.6</v>
      </c>
      <c r="E62" s="274"/>
      <c r="F62" s="377">
        <v>1.1000000000000005</v>
      </c>
      <c r="G62" s="377"/>
      <c r="H62" s="377">
        <v>5.2</v>
      </c>
      <c r="I62" s="274"/>
      <c r="J62" s="377">
        <v>2.9000000000000012</v>
      </c>
      <c r="K62" s="565"/>
      <c r="L62" s="377">
        <v>0.80000000000000071</v>
      </c>
      <c r="M62" s="1146"/>
      <c r="N62" s="377">
        <v>5.0000000000000009</v>
      </c>
      <c r="O62" s="565"/>
      <c r="P62" s="377">
        <v>2.7999999999999972</v>
      </c>
      <c r="Q62" s="565"/>
      <c r="R62" s="377">
        <v>1</v>
      </c>
      <c r="S62" s="565"/>
      <c r="T62" s="377">
        <v>5.2000000000000028</v>
      </c>
      <c r="U62" s="565"/>
      <c r="V62" s="377">
        <v>2.3999999999999986</v>
      </c>
      <c r="W62" s="565"/>
      <c r="X62" s="377">
        <f t="shared" si="4"/>
        <v>1</v>
      </c>
      <c r="Y62" s="565"/>
      <c r="Z62" s="377"/>
      <c r="AA62" s="274"/>
      <c r="AB62" s="535"/>
      <c r="AC62" s="542">
        <v>34</v>
      </c>
      <c r="AD62" s="297"/>
      <c r="AE62" s="1857"/>
      <c r="AF62" s="542">
        <v>187.3</v>
      </c>
      <c r="AG62" s="530"/>
      <c r="AH62" s="274"/>
      <c r="AI62" s="274">
        <f t="shared" si="5"/>
        <v>-153.30000000000001</v>
      </c>
      <c r="AJ62" s="274"/>
      <c r="AK62" s="293">
        <f>_xlfn.SINGLE(ROUND(IF(AF62=0,0,AI62/ABS(AF62)),3))</f>
        <v>-0.81799999999999995</v>
      </c>
      <c r="AL62" s="1610"/>
      <c r="AM62" s="1610"/>
      <c r="AP62" s="1302"/>
    </row>
    <row r="63" spans="1:42" ht="15" customHeight="1">
      <c r="A63" s="35"/>
      <c r="B63" s="360" t="s">
        <v>415</v>
      </c>
      <c r="C63" s="301"/>
      <c r="D63" s="377" t="s">
        <v>103</v>
      </c>
      <c r="E63" s="274"/>
      <c r="F63" s="377"/>
      <c r="G63" s="377"/>
      <c r="H63" s="377"/>
      <c r="I63" s="274"/>
      <c r="J63" s="377"/>
      <c r="K63" s="274"/>
      <c r="L63" s="377"/>
      <c r="M63" s="1149"/>
      <c r="N63" s="377"/>
      <c r="O63" s="274"/>
      <c r="P63" s="377"/>
      <c r="Q63" s="274"/>
      <c r="R63" s="377"/>
      <c r="S63" s="274"/>
      <c r="T63" s="377"/>
      <c r="U63" s="274"/>
      <c r="V63" s="377"/>
      <c r="W63" s="274"/>
      <c r="X63" s="377"/>
      <c r="Y63" s="274"/>
      <c r="Z63" s="377"/>
      <c r="AA63" s="274"/>
      <c r="AB63" s="534"/>
      <c r="AC63" s="274" t="s">
        <v>103</v>
      </c>
      <c r="AD63" s="274"/>
      <c r="AE63" s="535"/>
      <c r="AF63" s="274" t="s">
        <v>103</v>
      </c>
      <c r="AG63" s="530"/>
      <c r="AH63" s="274"/>
      <c r="AI63" s="274"/>
      <c r="AJ63" s="274"/>
      <c r="AK63" s="293"/>
      <c r="AL63" s="1610"/>
      <c r="AM63" s="1610"/>
      <c r="AP63" s="1302"/>
    </row>
    <row r="64" spans="1:42" ht="15" customHeight="1">
      <c r="A64" s="35"/>
      <c r="B64" s="360" t="s">
        <v>502</v>
      </c>
      <c r="C64" s="301"/>
      <c r="D64" s="377">
        <v>0</v>
      </c>
      <c r="E64" s="274"/>
      <c r="F64" s="377">
        <v>0</v>
      </c>
      <c r="G64" s="377"/>
      <c r="H64" s="377">
        <v>0</v>
      </c>
      <c r="I64" s="274"/>
      <c r="J64" s="377">
        <v>0</v>
      </c>
      <c r="K64" s="565"/>
      <c r="L64" s="377">
        <v>0</v>
      </c>
      <c r="M64" s="1146"/>
      <c r="N64" s="377">
        <v>0</v>
      </c>
      <c r="O64" s="565"/>
      <c r="P64" s="377">
        <v>0</v>
      </c>
      <c r="Q64" s="565"/>
      <c r="R64" s="377">
        <v>0</v>
      </c>
      <c r="S64" s="565"/>
      <c r="T64" s="377">
        <v>0</v>
      </c>
      <c r="U64" s="565"/>
      <c r="V64" s="377">
        <v>0</v>
      </c>
      <c r="W64" s="565"/>
      <c r="X64" s="377">
        <f>$AC64-SUM($D64:$V64)</f>
        <v>0</v>
      </c>
      <c r="Y64" s="565"/>
      <c r="Z64" s="377"/>
      <c r="AA64" s="274"/>
      <c r="AB64" s="535"/>
      <c r="AC64" s="542">
        <v>0</v>
      </c>
      <c r="AD64" s="297"/>
      <c r="AE64" s="1857"/>
      <c r="AF64" s="542">
        <v>0</v>
      </c>
      <c r="AG64" s="530"/>
      <c r="AH64" s="274"/>
      <c r="AI64" s="274">
        <f>_xlfn.SINGLE(ROUND(SUM(+AC64-AF64),1))</f>
        <v>0</v>
      </c>
      <c r="AJ64" s="274"/>
      <c r="AK64" s="293">
        <f>_xlfn.SINGLE(ROUND(IF(AF64=0,0,AI64/ABS(AF64)),3))</f>
        <v>0</v>
      </c>
      <c r="AL64" s="1610"/>
      <c r="AM64" s="1610"/>
      <c r="AP64" s="1302"/>
    </row>
    <row r="65" spans="1:42" ht="15" customHeight="1">
      <c r="A65" s="35"/>
      <c r="B65" s="360" t="s">
        <v>1462</v>
      </c>
      <c r="C65" s="301"/>
      <c r="D65" s="377">
        <v>0.30000000000000004</v>
      </c>
      <c r="E65" s="274"/>
      <c r="F65" s="377">
        <v>7.8999999999999995</v>
      </c>
      <c r="G65" s="377"/>
      <c r="H65" s="377">
        <v>0</v>
      </c>
      <c r="I65" s="274"/>
      <c r="J65" s="377">
        <v>0</v>
      </c>
      <c r="K65" s="565"/>
      <c r="L65" s="377">
        <v>0</v>
      </c>
      <c r="M65" s="1146"/>
      <c r="N65" s="377">
        <v>8.9000000000000021</v>
      </c>
      <c r="O65" s="565"/>
      <c r="P65" s="377">
        <v>0</v>
      </c>
      <c r="Q65" s="565"/>
      <c r="R65" s="377">
        <v>0</v>
      </c>
      <c r="S65" s="565"/>
      <c r="T65" s="377">
        <v>3.2999999999999972</v>
      </c>
      <c r="U65" s="565"/>
      <c r="V65" s="377">
        <v>0</v>
      </c>
      <c r="W65" s="565"/>
      <c r="X65" s="377">
        <f>$AC65-SUM($D65:$V65)</f>
        <v>0</v>
      </c>
      <c r="Y65" s="565"/>
      <c r="Z65" s="377"/>
      <c r="AA65" s="274"/>
      <c r="AB65" s="535"/>
      <c r="AC65" s="542">
        <v>20.399999999999999</v>
      </c>
      <c r="AD65" s="297"/>
      <c r="AE65" s="1857"/>
      <c r="AF65" s="542">
        <v>20.399999999999999</v>
      </c>
      <c r="AG65" s="530"/>
      <c r="AH65" s="274"/>
      <c r="AI65" s="274">
        <f>_xlfn.SINGLE(ROUND(SUM(+AC65-AF65),1))</f>
        <v>0</v>
      </c>
      <c r="AJ65" s="274"/>
      <c r="AK65" s="621">
        <f>_xlfn.SINGLE(ROUND(IF(AF65=0,1,AI65/ABS(AF65)),3))</f>
        <v>0</v>
      </c>
      <c r="AL65" s="1610"/>
      <c r="AM65" s="1610"/>
      <c r="AP65" s="1302"/>
    </row>
    <row r="66" spans="1:42" ht="15" customHeight="1">
      <c r="A66" s="35"/>
      <c r="B66" s="360" t="s">
        <v>1439</v>
      </c>
      <c r="C66" s="301"/>
      <c r="D66" s="377">
        <v>3.4</v>
      </c>
      <c r="E66" s="274"/>
      <c r="F66" s="377">
        <v>3.4</v>
      </c>
      <c r="G66" s="377"/>
      <c r="H66" s="377">
        <v>-1.3999999999999995</v>
      </c>
      <c r="I66" s="274"/>
      <c r="J66" s="377">
        <v>1.7999999999999998</v>
      </c>
      <c r="K66" s="565"/>
      <c r="L66" s="377">
        <v>0</v>
      </c>
      <c r="M66" s="1146"/>
      <c r="N66" s="377">
        <v>0</v>
      </c>
      <c r="O66" s="565"/>
      <c r="P66" s="377">
        <v>0</v>
      </c>
      <c r="Q66" s="565"/>
      <c r="R66" s="377">
        <v>0</v>
      </c>
      <c r="S66" s="565"/>
      <c r="T66" s="377">
        <v>0</v>
      </c>
      <c r="U66" s="565"/>
      <c r="V66" s="377">
        <v>0</v>
      </c>
      <c r="W66" s="565"/>
      <c r="X66" s="377">
        <f>$AC66-SUM($D66:$V66)</f>
        <v>0</v>
      </c>
      <c r="Y66" s="565"/>
      <c r="Z66" s="377"/>
      <c r="AA66" s="274"/>
      <c r="AB66" s="535"/>
      <c r="AC66" s="542">
        <v>7.2</v>
      </c>
      <c r="AD66" s="297"/>
      <c r="AE66" s="1857"/>
      <c r="AF66" s="542">
        <v>7.2</v>
      </c>
      <c r="AG66" s="530"/>
      <c r="AH66" s="274"/>
      <c r="AI66" s="274">
        <f>_xlfn.SINGLE(ROUND(SUM(+AC66-AF66),1))</f>
        <v>0</v>
      </c>
      <c r="AJ66" s="274"/>
      <c r="AK66" s="621">
        <f>_xlfn.SINGLE(ROUND(IF(AF66=0,0,AI66/ABS(AF66)),3))</f>
        <v>0</v>
      </c>
      <c r="AL66" s="1610"/>
      <c r="AM66" s="1610"/>
      <c r="AP66" s="1302"/>
    </row>
    <row r="67" spans="1:42" ht="15" customHeight="1">
      <c r="A67" s="35"/>
      <c r="B67" s="360" t="s">
        <v>1463</v>
      </c>
      <c r="C67" s="301"/>
      <c r="D67" s="377">
        <v>4.5999999999999996</v>
      </c>
      <c r="E67" s="274"/>
      <c r="F67" s="377">
        <v>0.30000000000000071</v>
      </c>
      <c r="G67" s="377"/>
      <c r="H67" s="377">
        <v>3.9000000000000004</v>
      </c>
      <c r="I67" s="274"/>
      <c r="J67" s="377">
        <v>8.5999999999999979</v>
      </c>
      <c r="K67" s="565"/>
      <c r="L67" s="377">
        <v>6.4999999999999982</v>
      </c>
      <c r="M67" s="1146"/>
      <c r="N67" s="377">
        <v>4.4999999999999982</v>
      </c>
      <c r="O67" s="565"/>
      <c r="P67" s="377">
        <v>4.8999999999999986</v>
      </c>
      <c r="Q67" s="565"/>
      <c r="R67" s="377">
        <v>4.3999999999999986</v>
      </c>
      <c r="S67" s="565"/>
      <c r="T67" s="377">
        <v>4.3000000000000043</v>
      </c>
      <c r="U67" s="565"/>
      <c r="V67" s="377">
        <v>8.2999999999999972</v>
      </c>
      <c r="W67" s="565"/>
      <c r="X67" s="377">
        <f>$AC67-SUM($D67:$V67)</f>
        <v>4</v>
      </c>
      <c r="Y67" s="565"/>
      <c r="Z67" s="377"/>
      <c r="AA67" s="274"/>
      <c r="AB67" s="535"/>
      <c r="AC67" s="542">
        <v>54.3</v>
      </c>
      <c r="AD67" s="297"/>
      <c r="AE67" s="1857"/>
      <c r="AF67" s="542">
        <v>65.7</v>
      </c>
      <c r="AG67" s="530"/>
      <c r="AH67" s="274"/>
      <c r="AI67" s="274">
        <f>_xlfn.SINGLE(ROUND(SUM(+AC67-AF67),1))</f>
        <v>-11.4</v>
      </c>
      <c r="AJ67" s="274"/>
      <c r="AK67" s="621">
        <f>_xlfn.SINGLE(ROUND(IF(AF67=0,0,AI67/ABS(AF67)),3))</f>
        <v>-0.17399999999999999</v>
      </c>
      <c r="AL67" s="1610"/>
      <c r="AM67" s="1610"/>
      <c r="AP67" s="1302"/>
    </row>
    <row r="68" spans="1:42" ht="15" customHeight="1">
      <c r="A68" s="35"/>
      <c r="B68" s="360" t="s">
        <v>420</v>
      </c>
      <c r="C68" s="301"/>
      <c r="D68" s="377">
        <v>46.6</v>
      </c>
      <c r="E68" s="274"/>
      <c r="F68" s="377">
        <v>25.800000000000004</v>
      </c>
      <c r="G68" s="377"/>
      <c r="H68" s="377">
        <v>5.8999999999999915</v>
      </c>
      <c r="I68" s="274"/>
      <c r="J68" s="377">
        <v>0.90000000000000568</v>
      </c>
      <c r="K68" s="565"/>
      <c r="L68" s="377">
        <v>0.59999999999999432</v>
      </c>
      <c r="M68" s="1146"/>
      <c r="N68" s="377">
        <v>-0.29999999999999716</v>
      </c>
      <c r="O68" s="565"/>
      <c r="P68" s="377">
        <v>1.5999999999999943</v>
      </c>
      <c r="Q68" s="565"/>
      <c r="R68" s="377">
        <v>109.30000000000001</v>
      </c>
      <c r="S68" s="565"/>
      <c r="T68" s="377">
        <v>18.699999999999989</v>
      </c>
      <c r="U68" s="565"/>
      <c r="V68" s="377">
        <v>42.800000000000011</v>
      </c>
      <c r="W68" s="565"/>
      <c r="X68" s="377">
        <f>$AC68-SUM($D68:$V68)</f>
        <v>120.6</v>
      </c>
      <c r="Y68" s="565"/>
      <c r="Z68" s="377"/>
      <c r="AA68" s="274"/>
      <c r="AB68" s="535"/>
      <c r="AC68" s="542">
        <v>372.5</v>
      </c>
      <c r="AD68" s="297"/>
      <c r="AE68" s="1857"/>
      <c r="AF68" s="542">
        <v>298.60000000000002</v>
      </c>
      <c r="AG68" s="530"/>
      <c r="AH68" s="274"/>
      <c r="AI68" s="274">
        <f>_xlfn.SINGLE(ROUND(SUM(+AC68-AF68),1))</f>
        <v>73.900000000000006</v>
      </c>
      <c r="AJ68" s="274"/>
      <c r="AK68" s="621">
        <f>_xlfn.SINGLE(ROUND(IF(AF68=0,0,AI68/ABS(AF68)),3))</f>
        <v>0.247</v>
      </c>
      <c r="AL68" s="1610"/>
      <c r="AM68" s="1610"/>
      <c r="AP68" s="1302"/>
    </row>
    <row r="69" spans="1:42" ht="17.25" customHeight="1">
      <c r="A69" s="35"/>
      <c r="B69" s="360" t="s">
        <v>421</v>
      </c>
      <c r="C69" s="301"/>
      <c r="D69" s="377" t="s">
        <v>103</v>
      </c>
      <c r="E69" s="274"/>
      <c r="F69" s="377"/>
      <c r="G69" s="377"/>
      <c r="H69" s="377"/>
      <c r="I69" s="274"/>
      <c r="J69" s="377"/>
      <c r="K69" s="274"/>
      <c r="L69" s="377"/>
      <c r="M69" s="1149"/>
      <c r="N69" s="377"/>
      <c r="O69" s="274"/>
      <c r="P69" s="377"/>
      <c r="Q69" s="274"/>
      <c r="R69" s="377"/>
      <c r="S69" s="274"/>
      <c r="T69" s="377"/>
      <c r="U69" s="274"/>
      <c r="V69" s="377"/>
      <c r="W69" s="274"/>
      <c r="X69" s="377"/>
      <c r="Y69" s="274"/>
      <c r="Z69" s="377"/>
      <c r="AA69" s="274"/>
      <c r="AB69" s="534"/>
      <c r="AC69" s="274" t="s">
        <v>103</v>
      </c>
      <c r="AD69" s="274"/>
      <c r="AE69" s="535"/>
      <c r="AF69" s="274" t="s">
        <v>103</v>
      </c>
      <c r="AG69" s="530"/>
      <c r="AH69" s="274"/>
      <c r="AI69" s="274"/>
      <c r="AJ69" s="274"/>
      <c r="AK69" s="293"/>
      <c r="AL69" s="1610"/>
      <c r="AM69" s="1610"/>
      <c r="AP69" s="1302"/>
    </row>
    <row r="70" spans="1:42" ht="15" customHeight="1">
      <c r="A70" s="35"/>
      <c r="B70" s="360" t="s">
        <v>1440</v>
      </c>
      <c r="C70" s="301"/>
      <c r="D70" s="377">
        <v>9</v>
      </c>
      <c r="E70" s="274"/>
      <c r="F70" s="377">
        <v>9.3000000000000007</v>
      </c>
      <c r="G70" s="377"/>
      <c r="H70" s="377">
        <v>25.8</v>
      </c>
      <c r="I70" s="274"/>
      <c r="J70" s="377">
        <v>10.299999999999994</v>
      </c>
      <c r="K70" s="565"/>
      <c r="L70" s="377">
        <v>24.600000000000012</v>
      </c>
      <c r="M70" s="1146"/>
      <c r="N70" s="377">
        <v>9.9000000000000021</v>
      </c>
      <c r="O70" s="565"/>
      <c r="P70" s="377">
        <v>10.199999999999989</v>
      </c>
      <c r="Q70" s="565"/>
      <c r="R70" s="377">
        <v>24.200000000000003</v>
      </c>
      <c r="S70" s="565"/>
      <c r="T70" s="377">
        <v>9.2000000000000028</v>
      </c>
      <c r="U70" s="565"/>
      <c r="V70" s="377">
        <v>23.800000000000011</v>
      </c>
      <c r="W70" s="565"/>
      <c r="X70" s="377">
        <f t="shared" ref="X70:X81" si="6">$AC70-SUM($D70:$V70)</f>
        <v>0.89999999999997726</v>
      </c>
      <c r="Y70" s="565"/>
      <c r="Z70" s="377"/>
      <c r="AA70" s="274"/>
      <c r="AB70" s="535"/>
      <c r="AC70" s="542">
        <v>157.19999999999999</v>
      </c>
      <c r="AD70" s="297"/>
      <c r="AE70" s="1857"/>
      <c r="AF70" s="542">
        <v>136</v>
      </c>
      <c r="AG70" s="530"/>
      <c r="AH70" s="274"/>
      <c r="AI70" s="274">
        <f t="shared" ref="AI70:AI81" si="7">_xlfn.SINGLE(ROUND(SUM(+AC70-AF70),1))</f>
        <v>21.2</v>
      </c>
      <c r="AJ70" s="274"/>
      <c r="AK70" s="621">
        <f>_xlfn.SINGLE(ROUND(IF(AF70=0,0,AI70/ABS(AF70)),3))</f>
        <v>0.156</v>
      </c>
      <c r="AL70" s="1610"/>
      <c r="AM70" s="1610"/>
      <c r="AP70" s="1302"/>
    </row>
    <row r="71" spans="1:42" ht="15" customHeight="1">
      <c r="A71" s="35"/>
      <c r="B71" s="360" t="s">
        <v>507</v>
      </c>
      <c r="C71" s="301"/>
      <c r="D71" s="377">
        <v>9.9999999999988626E-2</v>
      </c>
      <c r="E71" s="274"/>
      <c r="F71" s="377">
        <v>0.20000000000001708</v>
      </c>
      <c r="G71" s="377"/>
      <c r="H71" s="377">
        <v>0.30000000000001703</v>
      </c>
      <c r="I71" s="274"/>
      <c r="J71" s="377">
        <v>0.29999999999996019</v>
      </c>
      <c r="K71" s="565"/>
      <c r="L71" s="377">
        <v>0.20000000000001728</v>
      </c>
      <c r="M71" s="1146"/>
      <c r="N71" s="377">
        <v>9.9999999999999867E-2</v>
      </c>
      <c r="O71" s="565"/>
      <c r="P71" s="377">
        <v>0.19999999999999996</v>
      </c>
      <c r="Q71" s="565"/>
      <c r="R71" s="377">
        <v>0.20000000000000018</v>
      </c>
      <c r="S71" s="565"/>
      <c r="T71" s="377">
        <v>9.9999999999999867E-2</v>
      </c>
      <c r="U71" s="565"/>
      <c r="V71" s="377">
        <v>0.19999999999999996</v>
      </c>
      <c r="W71" s="565"/>
      <c r="X71" s="377">
        <f t="shared" si="6"/>
        <v>0.30000000000000027</v>
      </c>
      <c r="Y71" s="565"/>
      <c r="Z71" s="377"/>
      <c r="AA71" s="274"/>
      <c r="AB71" s="535"/>
      <c r="AC71" s="542">
        <v>2.2000000000000002</v>
      </c>
      <c r="AD71" s="297"/>
      <c r="AE71" s="1857"/>
      <c r="AF71" s="542">
        <v>1.5</v>
      </c>
      <c r="AG71" s="530"/>
      <c r="AH71" s="274"/>
      <c r="AI71" s="274">
        <f t="shared" si="7"/>
        <v>0.7</v>
      </c>
      <c r="AJ71" s="274"/>
      <c r="AK71" s="621">
        <f>_xlfn.SINGLE(ROUND(IF(AF71=0,1,AI71/ABS(AF71)),3))</f>
        <v>0.46700000000000003</v>
      </c>
      <c r="AL71" s="1610"/>
      <c r="AM71" s="1610"/>
      <c r="AP71" s="1302"/>
    </row>
    <row r="72" spans="1:42" ht="15" customHeight="1">
      <c r="A72" s="35"/>
      <c r="B72" s="360" t="s">
        <v>1441</v>
      </c>
      <c r="C72" s="301"/>
      <c r="D72" s="377">
        <v>0</v>
      </c>
      <c r="E72" s="274"/>
      <c r="F72" s="377">
        <v>0</v>
      </c>
      <c r="G72" s="377"/>
      <c r="H72" s="377">
        <v>0</v>
      </c>
      <c r="I72" s="274"/>
      <c r="J72" s="377">
        <v>0</v>
      </c>
      <c r="K72" s="565"/>
      <c r="L72" s="377">
        <v>0</v>
      </c>
      <c r="M72" s="1146"/>
      <c r="N72" s="377">
        <v>0</v>
      </c>
      <c r="O72" s="565"/>
      <c r="P72" s="377">
        <v>0</v>
      </c>
      <c r="Q72" s="565"/>
      <c r="R72" s="377">
        <v>0</v>
      </c>
      <c r="S72" s="565"/>
      <c r="T72" s="377">
        <v>0</v>
      </c>
      <c r="U72" s="565"/>
      <c r="V72" s="377">
        <v>0</v>
      </c>
      <c r="W72" s="565"/>
      <c r="X72" s="377">
        <f t="shared" si="6"/>
        <v>0</v>
      </c>
      <c r="Y72" s="565"/>
      <c r="Z72" s="377"/>
      <c r="AA72" s="274"/>
      <c r="AB72" s="535"/>
      <c r="AC72" s="542">
        <v>0</v>
      </c>
      <c r="AD72" s="297"/>
      <c r="AE72" s="1857"/>
      <c r="AF72" s="542">
        <v>0</v>
      </c>
      <c r="AG72" s="530"/>
      <c r="AH72" s="274"/>
      <c r="AI72" s="274">
        <f t="shared" si="7"/>
        <v>0</v>
      </c>
      <c r="AJ72" s="274"/>
      <c r="AK72" s="293">
        <f>_xlfn.SINGLE(ROUND(IF(AF72=0,0,AI72/ABS(AF72)),3))</f>
        <v>0</v>
      </c>
      <c r="AL72" s="1610"/>
      <c r="AM72" s="1610"/>
      <c r="AP72" s="1302"/>
    </row>
    <row r="73" spans="1:42" ht="15" customHeight="1">
      <c r="A73" s="35"/>
      <c r="B73" s="360" t="s">
        <v>1442</v>
      </c>
      <c r="C73" s="301"/>
      <c r="D73" s="377">
        <v>7.3</v>
      </c>
      <c r="E73" s="274"/>
      <c r="F73" s="377">
        <v>0.60000000000000053</v>
      </c>
      <c r="G73" s="377"/>
      <c r="H73" s="377">
        <v>3.2999999999999989</v>
      </c>
      <c r="I73" s="274"/>
      <c r="J73" s="377">
        <v>0.60000000000000142</v>
      </c>
      <c r="K73" s="565"/>
      <c r="L73" s="377">
        <v>0.5</v>
      </c>
      <c r="M73" s="1146"/>
      <c r="N73" s="377">
        <v>0</v>
      </c>
      <c r="O73" s="565"/>
      <c r="P73" s="377">
        <v>1</v>
      </c>
      <c r="Q73" s="565"/>
      <c r="R73" s="377">
        <v>0.59999999999999964</v>
      </c>
      <c r="S73" s="565"/>
      <c r="T73" s="377">
        <v>0.69999999999999929</v>
      </c>
      <c r="U73" s="565"/>
      <c r="V73" s="377">
        <v>9.9999999999999645E-2</v>
      </c>
      <c r="W73" s="565"/>
      <c r="X73" s="377">
        <f t="shared" si="6"/>
        <v>5.4000000000000021</v>
      </c>
      <c r="Y73" s="565"/>
      <c r="Z73" s="377"/>
      <c r="AA73" s="274"/>
      <c r="AB73" s="535"/>
      <c r="AC73" s="542">
        <v>20.100000000000001</v>
      </c>
      <c r="AD73" s="297"/>
      <c r="AE73" s="1857"/>
      <c r="AF73" s="542">
        <v>36.299999999999997</v>
      </c>
      <c r="AG73" s="530"/>
      <c r="AH73" s="274"/>
      <c r="AI73" s="274">
        <f t="shared" si="7"/>
        <v>-16.2</v>
      </c>
      <c r="AJ73" s="274"/>
      <c r="AK73" s="621">
        <f>_xlfn.SINGLE(ROUND(IF(AF73=0,0,AI73/ABS(AF73)),3))</f>
        <v>-0.44600000000000001</v>
      </c>
      <c r="AL73" s="1610"/>
      <c r="AM73" s="1610"/>
      <c r="AP73" s="1302"/>
    </row>
    <row r="74" spans="1:42" ht="15" customHeight="1">
      <c r="A74" s="35"/>
      <c r="B74" s="360" t="s">
        <v>1443</v>
      </c>
      <c r="C74" s="301"/>
      <c r="D74" s="377">
        <v>0</v>
      </c>
      <c r="E74" s="274"/>
      <c r="F74" s="377">
        <v>0</v>
      </c>
      <c r="G74" s="377"/>
      <c r="H74" s="377">
        <v>0</v>
      </c>
      <c r="I74" s="274"/>
      <c r="J74" s="377">
        <v>0</v>
      </c>
      <c r="K74" s="565"/>
      <c r="L74" s="377">
        <v>0</v>
      </c>
      <c r="M74" s="1146"/>
      <c r="N74" s="377">
        <v>0.1</v>
      </c>
      <c r="O74" s="565"/>
      <c r="P74" s="377">
        <v>0</v>
      </c>
      <c r="Q74" s="565"/>
      <c r="R74" s="377">
        <v>0</v>
      </c>
      <c r="S74" s="565"/>
      <c r="T74" s="377">
        <v>0</v>
      </c>
      <c r="U74" s="565"/>
      <c r="V74" s="377">
        <v>0</v>
      </c>
      <c r="W74" s="565"/>
      <c r="X74" s="377">
        <f t="shared" si="6"/>
        <v>0</v>
      </c>
      <c r="Y74" s="565"/>
      <c r="Z74" s="377"/>
      <c r="AA74" s="274"/>
      <c r="AB74" s="535"/>
      <c r="AC74" s="542">
        <v>0.1</v>
      </c>
      <c r="AD74" s="297"/>
      <c r="AE74" s="1857"/>
      <c r="AF74" s="542">
        <v>0.2</v>
      </c>
      <c r="AG74" s="530"/>
      <c r="AH74" s="274"/>
      <c r="AI74" s="274">
        <f t="shared" si="7"/>
        <v>-0.1</v>
      </c>
      <c r="AJ74" s="274"/>
      <c r="AK74" s="621">
        <f>_xlfn.SINGLE(ROUND(IF(AF74=0,0,AI74/ABS(AF74)),3))</f>
        <v>-0.5</v>
      </c>
      <c r="AL74" s="1610"/>
      <c r="AM74" s="1610"/>
      <c r="AP74" s="1302"/>
    </row>
    <row r="75" spans="1:42" ht="15" customHeight="1">
      <c r="A75" s="35"/>
      <c r="B75" s="360" t="s">
        <v>1444</v>
      </c>
      <c r="C75" s="301"/>
      <c r="D75" s="377">
        <v>286.60000000000002</v>
      </c>
      <c r="E75" s="274"/>
      <c r="F75" s="377">
        <v>250.89999999999998</v>
      </c>
      <c r="G75" s="377"/>
      <c r="H75" s="377">
        <v>221.20000000000005</v>
      </c>
      <c r="I75" s="274"/>
      <c r="J75" s="377">
        <v>299</v>
      </c>
      <c r="K75" s="565"/>
      <c r="L75" s="377">
        <v>273.30000000000007</v>
      </c>
      <c r="M75" s="1146"/>
      <c r="N75" s="377">
        <v>262.1999999999997</v>
      </c>
      <c r="O75" s="565"/>
      <c r="P75" s="377">
        <v>276.60000000000014</v>
      </c>
      <c r="Q75" s="565"/>
      <c r="R75" s="377">
        <v>257.79999999999995</v>
      </c>
      <c r="S75" s="565"/>
      <c r="T75" s="377">
        <v>275.30000000000018</v>
      </c>
      <c r="U75" s="565"/>
      <c r="V75" s="377">
        <v>258.5</v>
      </c>
      <c r="W75" s="565"/>
      <c r="X75" s="377">
        <f t="shared" si="6"/>
        <v>250.90000000000009</v>
      </c>
      <c r="Y75" s="565"/>
      <c r="Z75" s="377"/>
      <c r="AA75" s="274"/>
      <c r="AB75" s="535"/>
      <c r="AC75" s="542">
        <v>2912.3</v>
      </c>
      <c r="AD75" s="297"/>
      <c r="AE75" s="1857"/>
      <c r="AF75" s="542">
        <v>2784</v>
      </c>
      <c r="AG75" s="530"/>
      <c r="AH75" s="274"/>
      <c r="AI75" s="274">
        <f t="shared" si="7"/>
        <v>128.30000000000001</v>
      </c>
      <c r="AJ75" s="274"/>
      <c r="AK75" s="621">
        <f>_xlfn.SINGLE(ROUND(IF(AF75=0,0,AI75/ABS(AF75)),3))</f>
        <v>4.5999999999999999E-2</v>
      </c>
      <c r="AL75" s="1610"/>
      <c r="AM75" s="1610"/>
      <c r="AP75" s="1302"/>
    </row>
    <row r="76" spans="1:42" ht="15" customHeight="1">
      <c r="A76" s="35"/>
      <c r="B76" s="360" t="s">
        <v>1464</v>
      </c>
      <c r="C76" s="301"/>
      <c r="D76" s="377">
        <v>3.3</v>
      </c>
      <c r="E76" s="274"/>
      <c r="F76" s="377">
        <v>0.40000000000000036</v>
      </c>
      <c r="G76" s="377"/>
      <c r="H76" s="377">
        <v>3</v>
      </c>
      <c r="I76" s="274"/>
      <c r="J76" s="377">
        <v>4.7999999999999989</v>
      </c>
      <c r="K76" s="565"/>
      <c r="L76" s="377">
        <v>3.9000000000000021</v>
      </c>
      <c r="M76" s="1146"/>
      <c r="N76" s="377">
        <v>5.0999999999999961</v>
      </c>
      <c r="O76" s="565"/>
      <c r="P76" s="377">
        <v>3.8999999999999986</v>
      </c>
      <c r="Q76" s="565"/>
      <c r="R76" s="377">
        <v>2.7000000000000028</v>
      </c>
      <c r="S76" s="565"/>
      <c r="T76" s="377">
        <v>5.2999999999999972</v>
      </c>
      <c r="U76" s="565"/>
      <c r="V76" s="377">
        <v>3.3000000000000043</v>
      </c>
      <c r="W76" s="565"/>
      <c r="X76" s="377">
        <f t="shared" si="6"/>
        <v>0.19999999999999574</v>
      </c>
      <c r="Y76" s="565"/>
      <c r="Z76" s="377"/>
      <c r="AA76" s="274"/>
      <c r="AB76" s="535"/>
      <c r="AC76" s="542">
        <v>35.9</v>
      </c>
      <c r="AD76" s="297"/>
      <c r="AE76" s="1857"/>
      <c r="AF76" s="542">
        <v>42.7</v>
      </c>
      <c r="AG76" s="530"/>
      <c r="AH76" s="274"/>
      <c r="AI76" s="274">
        <f t="shared" si="7"/>
        <v>-6.8</v>
      </c>
      <c r="AJ76" s="274"/>
      <c r="AK76" s="621">
        <f>_xlfn.SINGLE(ROUND(IF(AF76=0,0,AI76/ABS(AF76)),3))</f>
        <v>-0.159</v>
      </c>
      <c r="AL76" s="1610"/>
      <c r="AM76" s="1610"/>
      <c r="AP76" s="1302"/>
    </row>
    <row r="77" spans="1:42" ht="15" customHeight="1">
      <c r="A77" s="35"/>
      <c r="B77" s="360" t="s">
        <v>1445</v>
      </c>
      <c r="C77" s="301"/>
      <c r="D77" s="377">
        <v>7.6</v>
      </c>
      <c r="E77" s="274"/>
      <c r="F77" s="377">
        <v>2.0999999999999996</v>
      </c>
      <c r="G77" s="377"/>
      <c r="H77" s="377">
        <v>1.2000000000000011</v>
      </c>
      <c r="I77" s="274"/>
      <c r="J77" s="377">
        <v>43.899999999999991</v>
      </c>
      <c r="K77" s="565"/>
      <c r="L77" s="377">
        <v>20.800000000000011</v>
      </c>
      <c r="M77" s="1146"/>
      <c r="N77" s="377">
        <v>1.2000000000000028</v>
      </c>
      <c r="O77" s="565"/>
      <c r="P77" s="377">
        <v>0.5</v>
      </c>
      <c r="Q77" s="565"/>
      <c r="R77" s="377">
        <v>4.6000000000000085</v>
      </c>
      <c r="S77" s="565"/>
      <c r="T77" s="377">
        <v>2.2999999999999972</v>
      </c>
      <c r="U77" s="565"/>
      <c r="V77" s="377">
        <v>17.100000000000009</v>
      </c>
      <c r="W77" s="565"/>
      <c r="X77" s="377">
        <f t="shared" si="6"/>
        <v>26.599999999999994</v>
      </c>
      <c r="Y77" s="565"/>
      <c r="Z77" s="377"/>
      <c r="AA77" s="274"/>
      <c r="AB77" s="535"/>
      <c r="AC77" s="542">
        <v>127.9</v>
      </c>
      <c r="AD77" s="297"/>
      <c r="AE77" s="1857"/>
      <c r="AF77" s="542">
        <v>75.8</v>
      </c>
      <c r="AG77" s="530"/>
      <c r="AH77" s="274"/>
      <c r="AI77" s="274">
        <f t="shared" si="7"/>
        <v>52.1</v>
      </c>
      <c r="AJ77" s="274"/>
      <c r="AK77" s="621">
        <f>_xlfn.SINGLE(ROUND(IF(AF77=0,1,AI77/ABS(AF77)),3))</f>
        <v>0.68700000000000006</v>
      </c>
      <c r="AL77" s="1610"/>
      <c r="AM77" s="1610"/>
      <c r="AP77" s="1302"/>
    </row>
    <row r="78" spans="1:42" ht="15" customHeight="1">
      <c r="A78" s="35"/>
      <c r="B78" s="360" t="s">
        <v>1471</v>
      </c>
      <c r="C78" s="301"/>
      <c r="D78" s="377">
        <v>1.0999999999999999</v>
      </c>
      <c r="E78" s="274"/>
      <c r="F78" s="377">
        <v>2</v>
      </c>
      <c r="G78" s="377"/>
      <c r="H78" s="377">
        <v>0.79999999999999982</v>
      </c>
      <c r="I78" s="274"/>
      <c r="J78" s="377">
        <v>1.8000000000000007</v>
      </c>
      <c r="K78" s="565"/>
      <c r="L78" s="377">
        <v>1</v>
      </c>
      <c r="M78" s="1146"/>
      <c r="N78" s="377">
        <v>0.70000000000000018</v>
      </c>
      <c r="O78" s="565"/>
      <c r="P78" s="377">
        <v>0.90000000000000036</v>
      </c>
      <c r="Q78" s="565"/>
      <c r="R78" s="377">
        <v>0.79999999999999893</v>
      </c>
      <c r="S78" s="565"/>
      <c r="T78" s="377">
        <v>1.2000000000000011</v>
      </c>
      <c r="U78" s="565"/>
      <c r="V78" s="377">
        <v>3.1999999999999993</v>
      </c>
      <c r="W78" s="565"/>
      <c r="X78" s="377">
        <f t="shared" si="6"/>
        <v>0.90000000000000036</v>
      </c>
      <c r="Y78" s="565"/>
      <c r="Z78" s="377"/>
      <c r="AA78" s="274"/>
      <c r="AB78" s="535"/>
      <c r="AC78" s="542">
        <v>14.4</v>
      </c>
      <c r="AD78" s="297"/>
      <c r="AE78" s="1857"/>
      <c r="AF78" s="542">
        <v>37.6</v>
      </c>
      <c r="AG78" s="530"/>
      <c r="AH78" s="274"/>
      <c r="AI78" s="274">
        <f t="shared" si="7"/>
        <v>-23.2</v>
      </c>
      <c r="AJ78" s="274"/>
      <c r="AK78" s="293">
        <f>_xlfn.SINGLE(ROUND(IF(AF78=0,0,AI78/ABS(AF78)),3))</f>
        <v>-0.61699999999999999</v>
      </c>
      <c r="AL78" s="1610"/>
      <c r="AM78" s="1610"/>
      <c r="AP78" s="1302"/>
    </row>
    <row r="79" spans="1:42" ht="15" customHeight="1">
      <c r="A79" s="35"/>
      <c r="B79" s="360" t="s">
        <v>1465</v>
      </c>
      <c r="C79" s="301"/>
      <c r="D79" s="377">
        <v>47.3</v>
      </c>
      <c r="E79" s="274"/>
      <c r="F79" s="377">
        <v>40.299999999999997</v>
      </c>
      <c r="G79" s="377"/>
      <c r="H79" s="377">
        <v>47.400000000000006</v>
      </c>
      <c r="I79" s="274"/>
      <c r="J79" s="377">
        <v>48.499999999999986</v>
      </c>
      <c r="K79" s="565"/>
      <c r="L79" s="377">
        <v>49.40000000000002</v>
      </c>
      <c r="M79" s="1146"/>
      <c r="N79" s="377">
        <v>43.899999999999977</v>
      </c>
      <c r="O79" s="565"/>
      <c r="P79" s="377">
        <v>46.299999999999955</v>
      </c>
      <c r="Q79" s="565"/>
      <c r="R79" s="377">
        <v>32.500000000000057</v>
      </c>
      <c r="S79" s="565"/>
      <c r="T79" s="377">
        <v>39.699999999999989</v>
      </c>
      <c r="U79" s="565"/>
      <c r="V79" s="377">
        <v>35.699999999999989</v>
      </c>
      <c r="W79" s="565"/>
      <c r="X79" s="377">
        <f t="shared" si="6"/>
        <v>41.600000000000023</v>
      </c>
      <c r="Y79" s="565"/>
      <c r="Z79" s="377"/>
      <c r="AA79" s="274"/>
      <c r="AB79" s="534"/>
      <c r="AC79" s="542">
        <v>472.6</v>
      </c>
      <c r="AD79" s="274"/>
      <c r="AE79" s="535"/>
      <c r="AF79" s="542">
        <v>456.1</v>
      </c>
      <c r="AG79" s="530"/>
      <c r="AH79" s="274"/>
      <c r="AI79" s="274">
        <f t="shared" si="7"/>
        <v>16.5</v>
      </c>
      <c r="AJ79" s="274"/>
      <c r="AK79" s="621">
        <f>_xlfn.SINGLE(ROUND(IF(AF79=0,0,AI79/ABS(AF79)),3))</f>
        <v>3.5999999999999997E-2</v>
      </c>
      <c r="AL79" s="1610"/>
      <c r="AM79" s="1610"/>
      <c r="AP79" s="1302"/>
    </row>
    <row r="80" spans="1:42" ht="15" customHeight="1">
      <c r="A80" s="35"/>
      <c r="B80" s="360" t="s">
        <v>432</v>
      </c>
      <c r="C80" s="301"/>
      <c r="D80" s="377">
        <v>0.6</v>
      </c>
      <c r="E80" s="274"/>
      <c r="F80" s="377">
        <v>0.70000000000000007</v>
      </c>
      <c r="G80" s="377"/>
      <c r="H80" s="377">
        <v>1.9</v>
      </c>
      <c r="I80" s="274"/>
      <c r="J80" s="377">
        <v>0.89999999999999947</v>
      </c>
      <c r="K80" s="565"/>
      <c r="L80" s="377">
        <v>1.5000000000000004</v>
      </c>
      <c r="M80" s="1146"/>
      <c r="N80" s="377">
        <v>1.4000000000000004</v>
      </c>
      <c r="O80" s="565"/>
      <c r="P80" s="377">
        <v>1.5999999999999996</v>
      </c>
      <c r="Q80" s="565"/>
      <c r="R80" s="377">
        <v>2.3000000000000007</v>
      </c>
      <c r="S80" s="565"/>
      <c r="T80" s="377">
        <v>1.5999999999999996</v>
      </c>
      <c r="U80" s="565"/>
      <c r="V80" s="377">
        <v>1.4000000000000004</v>
      </c>
      <c r="W80" s="565"/>
      <c r="X80" s="377">
        <f t="shared" si="6"/>
        <v>2.2000000000000011</v>
      </c>
      <c r="Y80" s="565"/>
      <c r="Z80" s="377"/>
      <c r="AA80" s="274"/>
      <c r="AB80" s="534"/>
      <c r="AC80" s="542">
        <v>16.100000000000001</v>
      </c>
      <c r="AD80" s="274"/>
      <c r="AE80" s="535"/>
      <c r="AF80" s="542">
        <v>15.5</v>
      </c>
      <c r="AG80" s="530"/>
      <c r="AH80" s="274"/>
      <c r="AI80" s="274">
        <f t="shared" si="7"/>
        <v>0.6</v>
      </c>
      <c r="AJ80" s="274"/>
      <c r="AK80" s="293">
        <f>_xlfn.SINGLE(ROUND(IF(AF80=0,0,AI80/ABS(AF80)),3))</f>
        <v>3.9E-2</v>
      </c>
      <c r="AL80" s="1610"/>
      <c r="AM80" s="1610"/>
      <c r="AP80" s="1302"/>
    </row>
    <row r="81" spans="1:42" ht="15" customHeight="1">
      <c r="A81" s="35"/>
      <c r="B81" s="360" t="s">
        <v>1446</v>
      </c>
      <c r="C81" s="301"/>
      <c r="D81" s="377">
        <v>-16.5</v>
      </c>
      <c r="E81" s="274"/>
      <c r="F81" s="377">
        <v>41.8</v>
      </c>
      <c r="G81" s="377"/>
      <c r="H81" s="377">
        <v>25.299999999999997</v>
      </c>
      <c r="I81" s="274"/>
      <c r="J81" s="377">
        <v>36.300000000000011</v>
      </c>
      <c r="K81" s="565"/>
      <c r="L81" s="377">
        <v>156.09999999999997</v>
      </c>
      <c r="M81" s="1146"/>
      <c r="N81" s="377">
        <v>340.20000000000016</v>
      </c>
      <c r="O81" s="565"/>
      <c r="P81" s="377">
        <v>142.0999999999998</v>
      </c>
      <c r="Q81" s="565"/>
      <c r="R81" s="377">
        <v>28.300000000000068</v>
      </c>
      <c r="S81" s="565"/>
      <c r="T81" s="377">
        <v>13.299999999999955</v>
      </c>
      <c r="U81" s="565"/>
      <c r="V81" s="377">
        <v>263.4000000000002</v>
      </c>
      <c r="W81" s="565"/>
      <c r="X81" s="377">
        <f t="shared" si="6"/>
        <v>288.29999999999973</v>
      </c>
      <c r="Y81" s="565"/>
      <c r="Z81" s="377"/>
      <c r="AA81" s="274"/>
      <c r="AB81" s="535"/>
      <c r="AC81" s="542">
        <v>1318.6</v>
      </c>
      <c r="AD81" s="297"/>
      <c r="AE81" s="1857"/>
      <c r="AF81" s="542">
        <v>1305.2</v>
      </c>
      <c r="AG81" s="530"/>
      <c r="AH81" s="274"/>
      <c r="AI81" s="274">
        <f t="shared" si="7"/>
        <v>13.4</v>
      </c>
      <c r="AJ81" s="274"/>
      <c r="AK81" s="293">
        <f>_xlfn.SINGLE(ROUND(IF(AF81=0,0,AI81/ABS(AF81)),3))</f>
        <v>0.01</v>
      </c>
      <c r="AL81" s="1610"/>
      <c r="AM81" s="1610"/>
      <c r="AP81" s="1302"/>
    </row>
    <row r="82" spans="1:42" ht="15" customHeight="1">
      <c r="A82" s="35"/>
      <c r="B82" s="88" t="s">
        <v>534</v>
      </c>
      <c r="C82" s="301"/>
      <c r="D82" s="687">
        <f>_xlfn.SINGLE(ROUND(SUM(D42:D81),1))</f>
        <v>1773.2</v>
      </c>
      <c r="E82" s="274"/>
      <c r="F82" s="687">
        <f>_xlfn.SINGLE(ROUND(SUM(F42:F81),1))</f>
        <v>1673.7</v>
      </c>
      <c r="G82" s="274"/>
      <c r="H82" s="687">
        <f>_xlfn.SINGLE(ROUND(SUM(H42:H81),1))</f>
        <v>1718.4</v>
      </c>
      <c r="I82" s="274"/>
      <c r="J82" s="687">
        <f>_xlfn.SINGLE(ROUND(SUM(J42:J81),1))</f>
        <v>1886.7</v>
      </c>
      <c r="K82" s="274"/>
      <c r="L82" s="687">
        <f>_xlfn.SINGLE(ROUND(SUM(L42:L81),1))</f>
        <v>1780.8</v>
      </c>
      <c r="M82" s="274"/>
      <c r="N82" s="687">
        <f>_xlfn.SINGLE(ROUND(SUM(N42:N81),1))</f>
        <v>2191.6999999999998</v>
      </c>
      <c r="O82" s="274"/>
      <c r="P82" s="687">
        <f>_xlfn.SINGLE(ROUND(SUM(P42:P81),1))</f>
        <v>2032.8</v>
      </c>
      <c r="Q82" s="274"/>
      <c r="R82" s="687">
        <f>_xlfn.SINGLE(ROUND(SUM(R42:R81),1))</f>
        <v>1778.8</v>
      </c>
      <c r="S82" s="13"/>
      <c r="T82" s="687">
        <f>_xlfn.SINGLE(ROUND(SUM(T42:T81),1))</f>
        <v>1811.3</v>
      </c>
      <c r="U82" s="274"/>
      <c r="V82" s="687">
        <f>_xlfn.SINGLE(ROUND(SUM(V42:V81),1))</f>
        <v>2162.3000000000002</v>
      </c>
      <c r="W82" s="274"/>
      <c r="X82" s="687">
        <f>_xlfn.SINGLE(ROUND(SUM(X42:X81),1))</f>
        <v>2116.3000000000002</v>
      </c>
      <c r="Y82" s="274"/>
      <c r="Z82" s="687">
        <f>_xlfn.SINGLE(ROUND(SUM(Z42:Z81),1))</f>
        <v>0</v>
      </c>
      <c r="AA82" s="274"/>
      <c r="AB82" s="534"/>
      <c r="AC82" s="687">
        <f>ROUND(SUM(AC42:AC81),1)</f>
        <v>20926</v>
      </c>
      <c r="AD82" s="274"/>
      <c r="AE82" s="535"/>
      <c r="AF82" s="687">
        <f>ROUND(SUM(AF42:AF81),1)</f>
        <v>20294.900000000001</v>
      </c>
      <c r="AG82" s="530"/>
      <c r="AH82" s="274"/>
      <c r="AI82" s="687">
        <f>_xlfn.SINGLE(ROUND(SUM(AI42:AI81),1))</f>
        <v>631.1</v>
      </c>
      <c r="AJ82" s="274"/>
      <c r="AK82" s="946">
        <f>_xlfn.SINGLE(ROUND(SUM(+AI82/AF82),3))</f>
        <v>3.1E-2</v>
      </c>
      <c r="AL82" s="1610"/>
      <c r="AM82" s="1610"/>
      <c r="AP82" s="1302"/>
    </row>
    <row r="83" spans="1:42" ht="15" customHeight="1">
      <c r="A83" s="35"/>
      <c r="B83" s="88"/>
      <c r="C83" s="301"/>
      <c r="D83" s="13"/>
      <c r="E83" s="274"/>
      <c r="F83" s="13"/>
      <c r="G83" s="274"/>
      <c r="H83" s="13"/>
      <c r="I83" s="274"/>
      <c r="J83" s="13"/>
      <c r="K83" s="274"/>
      <c r="L83" s="13"/>
      <c r="M83" s="274"/>
      <c r="N83" s="13"/>
      <c r="O83" s="274"/>
      <c r="P83" s="13"/>
      <c r="Q83" s="274"/>
      <c r="R83" s="13"/>
      <c r="S83" s="274"/>
      <c r="T83" s="13"/>
      <c r="U83" s="274"/>
      <c r="V83" s="13"/>
      <c r="W83" s="274"/>
      <c r="X83" s="377"/>
      <c r="Y83" s="274"/>
      <c r="Z83" s="13"/>
      <c r="AA83" s="274"/>
      <c r="AB83" s="534"/>
      <c r="AC83" s="13"/>
      <c r="AD83" s="274"/>
      <c r="AE83" s="535"/>
      <c r="AF83" s="13"/>
      <c r="AG83" s="530"/>
      <c r="AH83" s="274"/>
      <c r="AI83" s="13"/>
      <c r="AJ83" s="274"/>
      <c r="AK83" s="78"/>
      <c r="AL83" s="1610"/>
      <c r="AM83" s="1610"/>
      <c r="AP83" s="1302"/>
    </row>
    <row r="84" spans="1:42" ht="15" customHeight="1">
      <c r="A84" s="35"/>
      <c r="B84" s="1063" t="s">
        <v>551</v>
      </c>
      <c r="C84" s="301"/>
      <c r="D84" s="377">
        <v>0.4</v>
      </c>
      <c r="E84" s="274"/>
      <c r="F84" s="377">
        <v>-0.30000000000000004</v>
      </c>
      <c r="G84" s="377"/>
      <c r="H84" s="377">
        <v>0</v>
      </c>
      <c r="I84" s="274"/>
      <c r="J84" s="377">
        <v>0</v>
      </c>
      <c r="K84" s="565"/>
      <c r="L84" s="377">
        <v>0.10000000000000003</v>
      </c>
      <c r="M84" s="565"/>
      <c r="N84" s="377">
        <v>-0.2</v>
      </c>
      <c r="O84" s="565"/>
      <c r="P84" s="377">
        <v>-0.4</v>
      </c>
      <c r="Q84" s="565"/>
      <c r="R84" s="377">
        <v>-0.1</v>
      </c>
      <c r="S84" s="565"/>
      <c r="T84" s="377">
        <v>0</v>
      </c>
      <c r="U84" s="565"/>
      <c r="V84" s="377">
        <v>0</v>
      </c>
      <c r="W84" s="565"/>
      <c r="X84" s="906">
        <f>$AC84-SUM($D84:$V84)</f>
        <v>-11.5</v>
      </c>
      <c r="Y84" s="565"/>
      <c r="Z84" s="377"/>
      <c r="AA84" s="274"/>
      <c r="AB84" s="535"/>
      <c r="AC84" s="542">
        <v>-12</v>
      </c>
      <c r="AD84" s="297"/>
      <c r="AE84" s="1857"/>
      <c r="AF84" s="542">
        <v>-11.4</v>
      </c>
      <c r="AG84" s="530"/>
      <c r="AH84" s="274"/>
      <c r="AI84" s="274">
        <f>_xlfn.SINGLE(ROUND(SUM(+AC84-AF84),1))</f>
        <v>-0.6</v>
      </c>
      <c r="AJ84" s="274"/>
      <c r="AK84" s="553">
        <f>ROUND(IF(AF84=0,-1,AI84/ABS(AF84)),3)</f>
        <v>-5.2999999999999999E-2</v>
      </c>
      <c r="AL84" s="1610"/>
      <c r="AM84" s="1610"/>
      <c r="AP84" s="1302"/>
    </row>
    <row r="85" spans="1:42" ht="15" customHeight="1">
      <c r="A85" s="35"/>
      <c r="B85" s="301"/>
      <c r="C85" s="301"/>
      <c r="D85" s="629"/>
      <c r="E85" s="274"/>
      <c r="F85" s="629"/>
      <c r="G85" s="274"/>
      <c r="H85" s="629"/>
      <c r="I85" s="274"/>
      <c r="J85" s="629"/>
      <c r="K85" s="274"/>
      <c r="L85" s="629"/>
      <c r="M85" s="274"/>
      <c r="N85" s="629"/>
      <c r="O85" s="274"/>
      <c r="P85" s="629"/>
      <c r="Q85" s="274"/>
      <c r="R85" s="629"/>
      <c r="S85" s="274"/>
      <c r="T85" s="629"/>
      <c r="U85" s="274"/>
      <c r="V85" s="629"/>
      <c r="W85" s="274"/>
      <c r="X85" s="377"/>
      <c r="Y85" s="274"/>
      <c r="Z85" s="629"/>
      <c r="AA85" s="274"/>
      <c r="AB85" s="534"/>
      <c r="AC85" s="629"/>
      <c r="AD85" s="274"/>
      <c r="AE85" s="535"/>
      <c r="AF85" s="629"/>
      <c r="AG85" s="530"/>
      <c r="AH85" s="274"/>
      <c r="AI85" s="1064"/>
      <c r="AJ85" s="374"/>
      <c r="AK85" s="1065"/>
      <c r="AL85" s="1610"/>
      <c r="AM85" s="1610"/>
      <c r="AP85" s="1302"/>
    </row>
    <row r="86" spans="1:42" ht="15" customHeight="1">
      <c r="A86" s="35"/>
      <c r="B86" s="3" t="s">
        <v>435</v>
      </c>
      <c r="C86" s="301"/>
      <c r="D86" s="13">
        <f>_xlfn.SINGLE(ROUND(SUM(D38+D82+D84),1))</f>
        <v>2314.9</v>
      </c>
      <c r="E86" s="13"/>
      <c r="F86" s="13">
        <f>_xlfn.SINGLE(ROUND(SUM(F38+F82+F84),1))</f>
        <v>1932.5</v>
      </c>
      <c r="G86" s="13"/>
      <c r="H86" s="13">
        <f>_xlfn.SINGLE(ROUND(SUM(H38+H82+H84),1))</f>
        <v>2356.1</v>
      </c>
      <c r="I86" s="13"/>
      <c r="J86" s="13">
        <f>_xlfn.SINGLE(ROUND(SUM(J38+J82+J84),1))</f>
        <v>2166.1</v>
      </c>
      <c r="K86" s="13"/>
      <c r="L86" s="13">
        <f>_xlfn.SINGLE(ROUND(SUM(L38+L82+L84),1))</f>
        <v>2019.8</v>
      </c>
      <c r="M86" s="13"/>
      <c r="N86" s="13">
        <f>_xlfn.SINGLE(ROUND(SUM(N38+N82+N84),1))</f>
        <v>2814.5</v>
      </c>
      <c r="O86" s="13"/>
      <c r="P86" s="13">
        <f>_xlfn.SINGLE(ROUND(SUM(P38+P82+P84),1))</f>
        <v>2334.3000000000002</v>
      </c>
      <c r="Q86" s="13"/>
      <c r="R86" s="13">
        <f>_xlfn.SINGLE(ROUND(SUM(R38+R82+R84),1))</f>
        <v>2004.8</v>
      </c>
      <c r="S86" s="13"/>
      <c r="T86" s="13">
        <f>_xlfn.SINGLE(ROUND(SUM(T38+T82+T84),1))</f>
        <v>2446.4</v>
      </c>
      <c r="U86" s="13"/>
      <c r="V86" s="13">
        <f>_xlfn.SINGLE(ROUND(SUM(V38+V82+V84),1))</f>
        <v>3938.3</v>
      </c>
      <c r="W86" s="13"/>
      <c r="X86" s="367">
        <f>_xlfn.SINGLE(ROUND(SUM(X38+X82+X84),1))</f>
        <v>2265</v>
      </c>
      <c r="Y86" s="13"/>
      <c r="Z86" s="13">
        <f>_xlfn.SINGLE(ROUND(SUM(Z38+Z82+Z84),1))</f>
        <v>0</v>
      </c>
      <c r="AA86" s="13"/>
      <c r="AB86" s="14"/>
      <c r="AC86" s="13">
        <f>ROUND(SUM(AC38+AC82+AC84),1)</f>
        <v>26592.7</v>
      </c>
      <c r="AD86" s="13"/>
      <c r="AE86" s="683"/>
      <c r="AF86" s="13">
        <f>ROUND(SUM(AF38+AF82+AF84),1)</f>
        <v>25934.9</v>
      </c>
      <c r="AG86" s="79"/>
      <c r="AH86" s="13"/>
      <c r="AI86" s="367">
        <f>_xlfn.SINGLE(ROUND(SUM(AI38+AI82+AI84),1))</f>
        <v>657.8</v>
      </c>
      <c r="AJ86" s="80"/>
      <c r="AK86" s="378">
        <f>_xlfn.SINGLE(ROUND(SUM((AC86-AF86)/ABS(AF86)),3))</f>
        <v>2.5000000000000001E-2</v>
      </c>
      <c r="AL86" s="1610"/>
      <c r="AM86" s="1610"/>
      <c r="AP86" s="1302"/>
    </row>
    <row r="87" spans="1:42" ht="15" customHeight="1">
      <c r="A87" s="35"/>
      <c r="B87" s="301"/>
      <c r="C87" s="301"/>
      <c r="D87" s="629"/>
      <c r="E87" s="274"/>
      <c r="F87" s="629"/>
      <c r="G87" s="274"/>
      <c r="H87" s="629"/>
      <c r="I87" s="274"/>
      <c r="J87" s="629"/>
      <c r="K87" s="274"/>
      <c r="L87" s="629"/>
      <c r="M87" s="274"/>
      <c r="N87" s="629"/>
      <c r="O87" s="274"/>
      <c r="P87" s="629"/>
      <c r="Q87" s="274"/>
      <c r="R87" s="629"/>
      <c r="S87" s="274"/>
      <c r="T87" s="629"/>
      <c r="U87" s="274"/>
      <c r="V87" s="629"/>
      <c r="W87" s="274"/>
      <c r="X87" s="377"/>
      <c r="Y87" s="274"/>
      <c r="Z87" s="629"/>
      <c r="AA87" s="274"/>
      <c r="AB87" s="534"/>
      <c r="AC87" s="629"/>
      <c r="AD87" s="274"/>
      <c r="AE87" s="535"/>
      <c r="AF87" s="629"/>
      <c r="AG87" s="530"/>
      <c r="AH87" s="274"/>
      <c r="AI87" s="274"/>
      <c r="AJ87" s="374"/>
      <c r="AK87" s="293"/>
      <c r="AL87" s="1610"/>
      <c r="AM87" s="1610"/>
      <c r="AP87" s="1302"/>
    </row>
    <row r="88" spans="1:42" ht="15" customHeight="1">
      <c r="A88" s="35"/>
      <c r="B88" s="1248" t="s">
        <v>122</v>
      </c>
      <c r="C88" s="301"/>
      <c r="D88" s="274"/>
      <c r="E88" s="274"/>
      <c r="F88" s="274"/>
      <c r="G88" s="274"/>
      <c r="H88" s="274"/>
      <c r="I88" s="274"/>
      <c r="J88" s="274"/>
      <c r="K88" s="274"/>
      <c r="L88" s="274"/>
      <c r="M88" s="274"/>
      <c r="N88" s="274"/>
      <c r="O88" s="274"/>
      <c r="P88" s="274"/>
      <c r="Q88" s="274"/>
      <c r="R88" s="274"/>
      <c r="S88" s="274"/>
      <c r="T88" s="274"/>
      <c r="U88" s="274"/>
      <c r="V88" s="274"/>
      <c r="W88" s="274"/>
      <c r="X88" s="377"/>
      <c r="Y88" s="274"/>
      <c r="Z88" s="274"/>
      <c r="AA88" s="274"/>
      <c r="AB88" s="534"/>
      <c r="AC88" s="274"/>
      <c r="AD88" s="274"/>
      <c r="AE88" s="535"/>
      <c r="AF88" s="274"/>
      <c r="AG88" s="530"/>
      <c r="AH88" s="274"/>
      <c r="AI88" s="274"/>
      <c r="AJ88" s="374"/>
      <c r="AK88" s="293"/>
      <c r="AL88" s="1610"/>
      <c r="AM88" s="1610"/>
      <c r="AP88" s="1302"/>
    </row>
    <row r="89" spans="1:42" ht="15" customHeight="1">
      <c r="A89" s="35"/>
      <c r="B89" s="301" t="s">
        <v>459</v>
      </c>
      <c r="C89" s="301"/>
      <c r="D89" s="297"/>
      <c r="E89" s="274"/>
      <c r="F89" s="297"/>
      <c r="G89" s="274"/>
      <c r="H89" s="274"/>
      <c r="I89" s="274"/>
      <c r="J89" s="377"/>
      <c r="K89" s="274"/>
      <c r="L89" s="297"/>
      <c r="M89" s="274"/>
      <c r="N89" s="297"/>
      <c r="O89" s="274"/>
      <c r="P89" s="297"/>
      <c r="Q89" s="274"/>
      <c r="R89" s="297"/>
      <c r="S89" s="274"/>
      <c r="T89" s="297"/>
      <c r="U89" s="274"/>
      <c r="V89" s="274"/>
      <c r="W89" s="274"/>
      <c r="X89" s="377"/>
      <c r="Y89" s="274"/>
      <c r="Z89" s="274"/>
      <c r="AA89" s="274"/>
      <c r="AB89" s="534"/>
      <c r="AC89" s="285"/>
      <c r="AD89" s="274"/>
      <c r="AE89" s="535"/>
      <c r="AF89" s="285"/>
      <c r="AG89" s="530"/>
      <c r="AH89" s="274"/>
      <c r="AI89" s="274"/>
      <c r="AJ89" s="374"/>
      <c r="AK89" s="293"/>
      <c r="AL89" s="1610"/>
      <c r="AM89" s="1610"/>
      <c r="AP89" s="1302"/>
    </row>
    <row r="90" spans="1:42" ht="15" customHeight="1">
      <c r="A90" s="35"/>
      <c r="B90" s="395" t="s">
        <v>124</v>
      </c>
      <c r="C90" s="301"/>
      <c r="D90" s="377">
        <v>0.3</v>
      </c>
      <c r="E90" s="274"/>
      <c r="F90" s="377">
        <v>0</v>
      </c>
      <c r="G90" s="377"/>
      <c r="H90" s="377">
        <v>283.09999999999997</v>
      </c>
      <c r="I90" s="274"/>
      <c r="J90" s="377">
        <v>0.60000000000002274</v>
      </c>
      <c r="K90" s="565"/>
      <c r="L90" s="377">
        <v>1</v>
      </c>
      <c r="M90" s="565"/>
      <c r="N90" s="377">
        <v>3674.5</v>
      </c>
      <c r="O90" s="565"/>
      <c r="P90" s="377">
        <v>164.89999999999964</v>
      </c>
      <c r="Q90" s="565"/>
      <c r="R90" s="377">
        <v>165.60000000000036</v>
      </c>
      <c r="S90" s="565"/>
      <c r="T90" s="377">
        <v>166.60000000000036</v>
      </c>
      <c r="U90" s="565"/>
      <c r="V90" s="377">
        <v>1607.6999999999989</v>
      </c>
      <c r="W90" s="565"/>
      <c r="X90" s="377">
        <f>$AC90-SUM($D90:$V90)</f>
        <v>164.50000000000091</v>
      </c>
      <c r="Y90" s="565"/>
      <c r="Z90" s="377"/>
      <c r="AA90" s="274"/>
      <c r="AB90" s="535"/>
      <c r="AC90" s="542">
        <v>6228.8</v>
      </c>
      <c r="AD90" s="297"/>
      <c r="AE90" s="1857"/>
      <c r="AF90" s="542">
        <v>5836.6</v>
      </c>
      <c r="AG90" s="530"/>
      <c r="AH90" s="274"/>
      <c r="AI90" s="274">
        <f>_xlfn.SINGLE(ROUND(SUM(+AC90-AF90),1))</f>
        <v>392.2</v>
      </c>
      <c r="AJ90" s="274"/>
      <c r="AK90" s="553">
        <f>_xlfn.SINGLE(ROUND(IF(AF90=0,1,AI90/ABS(AF90)),3))</f>
        <v>6.7000000000000004E-2</v>
      </c>
      <c r="AL90" s="1610"/>
      <c r="AM90" s="1610"/>
      <c r="AP90" s="1302"/>
    </row>
    <row r="91" spans="1:42" ht="15" customHeight="1">
      <c r="A91" s="35"/>
      <c r="B91" s="395" t="s">
        <v>1448</v>
      </c>
      <c r="C91" s="301"/>
      <c r="D91" s="377">
        <v>0</v>
      </c>
      <c r="E91" s="274"/>
      <c r="F91" s="377">
        <v>0.2</v>
      </c>
      <c r="G91" s="377"/>
      <c r="H91" s="377">
        <v>0</v>
      </c>
      <c r="I91" s="274"/>
      <c r="J91" s="377">
        <v>1</v>
      </c>
      <c r="K91" s="565"/>
      <c r="L91" s="377">
        <v>0</v>
      </c>
      <c r="M91" s="565"/>
      <c r="N91" s="377">
        <v>0.10000000000000009</v>
      </c>
      <c r="O91" s="565"/>
      <c r="P91" s="377">
        <v>0.60000000000000009</v>
      </c>
      <c r="Q91" s="565"/>
      <c r="R91" s="377">
        <v>3.3</v>
      </c>
      <c r="S91" s="565"/>
      <c r="T91" s="377">
        <v>0.39999999999999947</v>
      </c>
      <c r="U91" s="565"/>
      <c r="V91" s="377">
        <v>0.10000000000000053</v>
      </c>
      <c r="W91" s="565"/>
      <c r="X91" s="377">
        <f t="shared" ref="X91:X99" si="8">$AC91-SUM($D91:$V91)</f>
        <v>9.9999999999999645E-2</v>
      </c>
      <c r="Y91" s="565"/>
      <c r="Z91" s="377"/>
      <c r="AA91" s="274"/>
      <c r="AB91" s="535"/>
      <c r="AC91" s="542">
        <v>5.8</v>
      </c>
      <c r="AD91" s="297"/>
      <c r="AE91" s="1857"/>
      <c r="AF91" s="542">
        <v>5.3</v>
      </c>
      <c r="AG91" s="530"/>
      <c r="AH91" s="274"/>
      <c r="AI91" s="274">
        <f>_xlfn.SINGLE(ROUND(SUM(+AC91-AF91),1))</f>
        <v>0.5</v>
      </c>
      <c r="AJ91" s="274"/>
      <c r="AK91" s="293">
        <f>_xlfn.SINGLE(ROUND(IF(AF91=0,0,AI91/ABS(AF91)),3))</f>
        <v>9.4E-2</v>
      </c>
      <c r="AL91" s="1610"/>
      <c r="AM91" s="1610"/>
      <c r="AP91" s="1302"/>
    </row>
    <row r="92" spans="1:42" ht="15" customHeight="1">
      <c r="A92" s="35"/>
      <c r="B92" s="395" t="s">
        <v>1447</v>
      </c>
      <c r="C92" s="301"/>
      <c r="D92" s="377">
        <v>10.6</v>
      </c>
      <c r="E92" s="274"/>
      <c r="F92" s="377">
        <v>35.199999999999996</v>
      </c>
      <c r="G92" s="377"/>
      <c r="H92" s="377">
        <v>7.1000000000000014</v>
      </c>
      <c r="I92" s="274"/>
      <c r="J92" s="377">
        <v>44.300000000000011</v>
      </c>
      <c r="K92" s="565"/>
      <c r="L92" s="377">
        <v>19.599999999999987</v>
      </c>
      <c r="M92" s="565"/>
      <c r="N92" s="377">
        <v>6.5000000000000071</v>
      </c>
      <c r="O92" s="565"/>
      <c r="P92" s="377">
        <v>26.799999999999983</v>
      </c>
      <c r="Q92" s="565"/>
      <c r="R92" s="377">
        <v>23.200000000000017</v>
      </c>
      <c r="S92" s="565"/>
      <c r="T92" s="377">
        <v>6.0999999999999943</v>
      </c>
      <c r="U92" s="565"/>
      <c r="V92" s="377">
        <v>25.199999999999989</v>
      </c>
      <c r="W92" s="565"/>
      <c r="X92" s="377">
        <f t="shared" si="8"/>
        <v>17</v>
      </c>
      <c r="Y92" s="565"/>
      <c r="Z92" s="377"/>
      <c r="AA92" s="274"/>
      <c r="AB92" s="535"/>
      <c r="AC92" s="542">
        <v>221.6</v>
      </c>
      <c r="AD92" s="297"/>
      <c r="AE92" s="1857"/>
      <c r="AF92" s="542">
        <v>190.3</v>
      </c>
      <c r="AG92" s="530"/>
      <c r="AH92" s="274"/>
      <c r="AI92" s="274">
        <f>_xlfn.SINGLE(ROUND(SUM(+AC92-AF92),1))</f>
        <v>31.3</v>
      </c>
      <c r="AJ92" s="274"/>
      <c r="AK92" s="621">
        <f>_xlfn.SINGLE(ROUND(IF(AF92=0,0,AI92/ABS(AF92)),3))</f>
        <v>0.16400000000000001</v>
      </c>
      <c r="AL92" s="1610"/>
      <c r="AM92" s="1610"/>
      <c r="AP92" s="1302"/>
    </row>
    <row r="93" spans="1:42" ht="15" customHeight="1">
      <c r="A93" s="35"/>
      <c r="B93" s="301" t="s">
        <v>535</v>
      </c>
      <c r="C93" s="301"/>
      <c r="D93" s="377" t="s">
        <v>103</v>
      </c>
      <c r="E93" s="274"/>
      <c r="F93" s="377"/>
      <c r="G93" s="377"/>
      <c r="H93" s="377"/>
      <c r="I93" s="274"/>
      <c r="J93" s="377"/>
      <c r="K93" s="565"/>
      <c r="L93" s="377"/>
      <c r="M93" s="565"/>
      <c r="N93" s="377"/>
      <c r="O93" s="565"/>
      <c r="P93" s="377"/>
      <c r="Q93" s="565"/>
      <c r="R93" s="377"/>
      <c r="S93" s="565"/>
      <c r="T93" s="377"/>
      <c r="U93" s="565"/>
      <c r="V93" s="377"/>
      <c r="W93" s="565"/>
      <c r="X93" s="377"/>
      <c r="Y93" s="565"/>
      <c r="Z93" s="377"/>
      <c r="AA93" s="274"/>
      <c r="AB93" s="535"/>
      <c r="AC93" s="523"/>
      <c r="AD93" s="297"/>
      <c r="AE93" s="1857"/>
      <c r="AF93" s="523"/>
      <c r="AG93" s="530"/>
      <c r="AH93" s="274"/>
      <c r="AI93" s="274"/>
      <c r="AJ93" s="278"/>
      <c r="AK93" s="293"/>
      <c r="AL93" s="1610"/>
      <c r="AM93" s="1610"/>
      <c r="AP93" s="1302"/>
    </row>
    <row r="94" spans="1:42" ht="15" customHeight="1">
      <c r="A94" s="35"/>
      <c r="B94" s="1055" t="s">
        <v>128</v>
      </c>
      <c r="C94" s="301"/>
      <c r="D94" s="377">
        <v>389</v>
      </c>
      <c r="E94" s="274"/>
      <c r="F94" s="377">
        <v>504.4</v>
      </c>
      <c r="G94" s="377"/>
      <c r="H94" s="377">
        <v>550.50000000000011</v>
      </c>
      <c r="I94" s="274"/>
      <c r="J94" s="377">
        <v>479.6999999999997</v>
      </c>
      <c r="K94" s="565"/>
      <c r="L94" s="377">
        <v>508</v>
      </c>
      <c r="M94" s="565"/>
      <c r="N94" s="377">
        <v>503.50000000000011</v>
      </c>
      <c r="O94" s="565"/>
      <c r="P94" s="377">
        <v>633.40000000000009</v>
      </c>
      <c r="Q94" s="565"/>
      <c r="R94" s="377">
        <v>437.59999999999991</v>
      </c>
      <c r="S94" s="565"/>
      <c r="T94" s="377">
        <v>485.09999999999991</v>
      </c>
      <c r="U94" s="565"/>
      <c r="V94" s="377">
        <v>518.80000000000018</v>
      </c>
      <c r="W94" s="565"/>
      <c r="X94" s="377">
        <f t="shared" si="8"/>
        <v>562.10000000000036</v>
      </c>
      <c r="Y94" s="565"/>
      <c r="Z94" s="377"/>
      <c r="AA94" s="274"/>
      <c r="AB94" s="535"/>
      <c r="AC94" s="542">
        <v>5572.1</v>
      </c>
      <c r="AD94" s="297"/>
      <c r="AE94" s="1857"/>
      <c r="AF94" s="542">
        <v>5881.1</v>
      </c>
      <c r="AG94" s="530"/>
      <c r="AH94" s="274"/>
      <c r="AI94" s="274">
        <f t="shared" ref="AI94:AI99" si="9">_xlfn.SINGLE(ROUND(SUM(+AC94-AF94),1))</f>
        <v>-309</v>
      </c>
      <c r="AJ94" s="274"/>
      <c r="AK94" s="621">
        <f>_xlfn.SINGLE(ROUND(IF(AF94=0,0,AI94/ABS(AF94)),3))</f>
        <v>-5.2999999999999999E-2</v>
      </c>
      <c r="AL94" s="1610"/>
      <c r="AM94" s="1610"/>
      <c r="AP94" s="1302"/>
    </row>
    <row r="95" spans="1:42" ht="15" customHeight="1">
      <c r="A95" s="35"/>
      <c r="B95" s="395" t="s">
        <v>129</v>
      </c>
      <c r="C95" s="301"/>
      <c r="D95" s="377">
        <v>83</v>
      </c>
      <c r="E95" s="274"/>
      <c r="F95" s="377">
        <v>136.69999999999999</v>
      </c>
      <c r="G95" s="377"/>
      <c r="H95" s="377">
        <v>332.09999999999997</v>
      </c>
      <c r="I95" s="274"/>
      <c r="J95" s="377">
        <v>94.700000000000045</v>
      </c>
      <c r="K95" s="565"/>
      <c r="L95" s="377">
        <v>86.10000000000008</v>
      </c>
      <c r="M95" s="565"/>
      <c r="N95" s="377">
        <v>226</v>
      </c>
      <c r="O95" s="565"/>
      <c r="P95" s="377">
        <v>212.09999999999991</v>
      </c>
      <c r="Q95" s="565"/>
      <c r="R95" s="377">
        <v>178.29999999999995</v>
      </c>
      <c r="S95" s="565"/>
      <c r="T95" s="377">
        <v>174.30000000000018</v>
      </c>
      <c r="U95" s="565"/>
      <c r="V95" s="377">
        <v>165.99999999999977</v>
      </c>
      <c r="W95" s="565"/>
      <c r="X95" s="377">
        <f t="shared" si="8"/>
        <v>91.800000000000182</v>
      </c>
      <c r="Y95" s="565"/>
      <c r="Z95" s="377"/>
      <c r="AA95" s="274"/>
      <c r="AB95" s="535"/>
      <c r="AC95" s="542">
        <v>1781.1000000000001</v>
      </c>
      <c r="AD95" s="297"/>
      <c r="AE95" s="1857"/>
      <c r="AF95" s="542">
        <v>1155.7</v>
      </c>
      <c r="AG95" s="530"/>
      <c r="AH95" s="274"/>
      <c r="AI95" s="274">
        <f t="shared" si="9"/>
        <v>625.4</v>
      </c>
      <c r="AJ95" s="274"/>
      <c r="AK95" s="293">
        <f>_xlfn.SINGLE(ROUND(IF(AF95=0,0,AI95/ABS(AF95)),3))</f>
        <v>0.54100000000000004</v>
      </c>
      <c r="AL95" s="1610"/>
      <c r="AM95" s="1610"/>
      <c r="AP95" s="1302"/>
    </row>
    <row r="96" spans="1:42" ht="15" customHeight="1">
      <c r="A96" s="35"/>
      <c r="B96" s="395" t="s">
        <v>130</v>
      </c>
      <c r="C96" s="301"/>
      <c r="D96" s="377">
        <v>21.6</v>
      </c>
      <c r="E96" s="274"/>
      <c r="F96" s="377">
        <v>29.5</v>
      </c>
      <c r="G96" s="377"/>
      <c r="H96" s="377">
        <v>20.499999999999993</v>
      </c>
      <c r="I96" s="274"/>
      <c r="J96" s="377">
        <v>36.400000000000013</v>
      </c>
      <c r="K96" s="565"/>
      <c r="L96" s="377">
        <v>46.099999999999987</v>
      </c>
      <c r="M96" s="565"/>
      <c r="N96" s="377">
        <v>30.500000000000007</v>
      </c>
      <c r="O96" s="565"/>
      <c r="P96" s="377">
        <v>52.599999999999994</v>
      </c>
      <c r="Q96" s="565"/>
      <c r="R96" s="377">
        <v>28.5</v>
      </c>
      <c r="S96" s="565"/>
      <c r="T96" s="377">
        <v>32.5</v>
      </c>
      <c r="U96" s="565"/>
      <c r="V96" s="377">
        <v>37.599999999999966</v>
      </c>
      <c r="W96" s="565"/>
      <c r="X96" s="377">
        <f t="shared" si="8"/>
        <v>67.900000000000034</v>
      </c>
      <c r="Y96" s="565"/>
      <c r="Z96" s="377"/>
      <c r="AA96" s="274"/>
      <c r="AB96" s="535"/>
      <c r="AC96" s="542">
        <v>403.7</v>
      </c>
      <c r="AD96" s="297"/>
      <c r="AE96" s="1857"/>
      <c r="AF96" s="542">
        <v>292</v>
      </c>
      <c r="AG96" s="530"/>
      <c r="AH96" s="274"/>
      <c r="AI96" s="274">
        <f t="shared" si="9"/>
        <v>111.7</v>
      </c>
      <c r="AJ96" s="274"/>
      <c r="AK96" s="293">
        <f>_xlfn.SINGLE(ROUND(IF(AF96=0,0,AI96/ABS(AF96)),3))</f>
        <v>0.38300000000000001</v>
      </c>
      <c r="AL96" s="1610"/>
      <c r="AM96" s="1610"/>
      <c r="AP96" s="1302"/>
    </row>
    <row r="97" spans="1:42" ht="15" customHeight="1">
      <c r="A97" s="35"/>
      <c r="B97" s="395" t="s">
        <v>131</v>
      </c>
      <c r="C97" s="301"/>
      <c r="D97" s="377">
        <v>0</v>
      </c>
      <c r="E97" s="274"/>
      <c r="F97" s="377">
        <v>0</v>
      </c>
      <c r="G97" s="377"/>
      <c r="H97" s="377">
        <v>0.2</v>
      </c>
      <c r="I97" s="274"/>
      <c r="J97" s="377">
        <v>0</v>
      </c>
      <c r="K97" s="565"/>
      <c r="L97" s="377">
        <v>2.0999999999999996</v>
      </c>
      <c r="M97" s="565"/>
      <c r="N97" s="377">
        <v>4.8999999999999995</v>
      </c>
      <c r="O97" s="565"/>
      <c r="P97" s="377">
        <v>2</v>
      </c>
      <c r="Q97" s="565"/>
      <c r="R97" s="377">
        <v>3.7000000000000011</v>
      </c>
      <c r="S97" s="565"/>
      <c r="T97" s="377">
        <v>2.7999999999999989</v>
      </c>
      <c r="U97" s="565"/>
      <c r="V97" s="377">
        <v>-0.5</v>
      </c>
      <c r="W97" s="565"/>
      <c r="X97" s="377">
        <f t="shared" si="8"/>
        <v>7.1999999999999993</v>
      </c>
      <c r="Y97" s="565"/>
      <c r="Z97" s="377"/>
      <c r="AA97" s="274"/>
      <c r="AB97" s="535"/>
      <c r="AC97" s="542">
        <v>22.4</v>
      </c>
      <c r="AD97" s="297"/>
      <c r="AE97" s="1857"/>
      <c r="AF97" s="542">
        <v>4.2</v>
      </c>
      <c r="AG97" s="530"/>
      <c r="AH97" s="274"/>
      <c r="AI97" s="274">
        <f t="shared" si="9"/>
        <v>18.2</v>
      </c>
      <c r="AJ97" s="274"/>
      <c r="AK97" s="293">
        <f>_xlfn.SINGLE(ROUND(IF(AF97=0,0,AI97/ABS(AF97)),3))</f>
        <v>4.3330000000000002</v>
      </c>
      <c r="AL97" s="1610"/>
      <c r="AM97" s="1610"/>
      <c r="AP97" s="1302"/>
    </row>
    <row r="98" spans="1:42" ht="15" customHeight="1">
      <c r="A98" s="35"/>
      <c r="B98" s="395" t="s">
        <v>132</v>
      </c>
      <c r="C98" s="301"/>
      <c r="D98" s="377">
        <v>0.4</v>
      </c>
      <c r="E98" s="274"/>
      <c r="F98" s="377">
        <v>1.8000000000000003</v>
      </c>
      <c r="G98" s="377"/>
      <c r="H98" s="377">
        <v>1</v>
      </c>
      <c r="I98" s="274"/>
      <c r="J98" s="377">
        <v>0.89999999999999947</v>
      </c>
      <c r="K98" s="565"/>
      <c r="L98" s="377">
        <v>3.6000000000000005</v>
      </c>
      <c r="M98" s="565"/>
      <c r="N98" s="377">
        <v>7.299999999999998</v>
      </c>
      <c r="O98" s="565"/>
      <c r="P98" s="377">
        <v>1.3000000000000025</v>
      </c>
      <c r="Q98" s="565"/>
      <c r="R98" s="377">
        <v>25.7</v>
      </c>
      <c r="S98" s="565"/>
      <c r="T98" s="377">
        <v>4.7999999999999972</v>
      </c>
      <c r="U98" s="565"/>
      <c r="V98" s="377">
        <v>8.2000000000000028</v>
      </c>
      <c r="W98" s="565"/>
      <c r="X98" s="377">
        <f t="shared" si="8"/>
        <v>7.6000000000000014</v>
      </c>
      <c r="Y98" s="565"/>
      <c r="Z98" s="377"/>
      <c r="AA98" s="274"/>
      <c r="AB98" s="535"/>
      <c r="AC98" s="542">
        <v>62.6</v>
      </c>
      <c r="AD98" s="297"/>
      <c r="AE98" s="1857"/>
      <c r="AF98" s="542">
        <v>70.3</v>
      </c>
      <c r="AG98" s="530"/>
      <c r="AH98" s="274"/>
      <c r="AI98" s="274">
        <f t="shared" si="9"/>
        <v>-7.7</v>
      </c>
      <c r="AJ98" s="274"/>
      <c r="AK98" s="621">
        <f>_xlfn.SINGLE(ROUND(IF(AF98=0,1,AI98/ABS(AF98)),3))</f>
        <v>-0.11</v>
      </c>
      <c r="AL98" s="1610"/>
      <c r="AM98" s="1610"/>
      <c r="AP98" s="1302"/>
    </row>
    <row r="99" spans="1:42" ht="15" customHeight="1">
      <c r="A99" s="35"/>
      <c r="B99" s="395" t="s">
        <v>1466</v>
      </c>
      <c r="C99" s="301"/>
      <c r="D99" s="377">
        <v>72.099999999999994</v>
      </c>
      <c r="E99" s="274"/>
      <c r="F99" s="377">
        <v>618.69999999999993</v>
      </c>
      <c r="G99" s="377"/>
      <c r="H99" s="377">
        <v>354.50000000000023</v>
      </c>
      <c r="I99" s="274"/>
      <c r="J99" s="377">
        <v>391.49999999999989</v>
      </c>
      <c r="K99" s="565"/>
      <c r="L99" s="377">
        <v>550.60000000000025</v>
      </c>
      <c r="M99" s="565"/>
      <c r="N99" s="377">
        <v>374.5</v>
      </c>
      <c r="O99" s="565"/>
      <c r="P99" s="377">
        <v>426.89999999999964</v>
      </c>
      <c r="Q99" s="565"/>
      <c r="R99" s="377">
        <v>706.39999999999964</v>
      </c>
      <c r="S99" s="565"/>
      <c r="T99" s="377">
        <v>1136.6999999999998</v>
      </c>
      <c r="U99" s="565"/>
      <c r="V99" s="377">
        <v>70.400000000000546</v>
      </c>
      <c r="W99" s="565"/>
      <c r="X99" s="377">
        <f t="shared" si="8"/>
        <v>130.80000000000018</v>
      </c>
      <c r="Y99" s="565"/>
      <c r="Z99" s="377"/>
      <c r="AA99" s="274"/>
      <c r="AB99" s="535"/>
      <c r="AC99" s="542">
        <v>4833.1000000000004</v>
      </c>
      <c r="AD99" s="297"/>
      <c r="AE99" s="1857"/>
      <c r="AF99" s="542">
        <v>4661.5</v>
      </c>
      <c r="AG99" s="530"/>
      <c r="AH99" s="274"/>
      <c r="AI99" s="274">
        <f t="shared" si="9"/>
        <v>171.6</v>
      </c>
      <c r="AJ99" s="274"/>
      <c r="AK99" s="293">
        <f>_xlfn.SINGLE(ROUND(IF(AF99=0,0,AI99/ABS(AF99)),3))</f>
        <v>3.6999999999999998E-2</v>
      </c>
      <c r="AL99" s="1610"/>
      <c r="AM99" s="1610"/>
      <c r="AP99" s="1302"/>
    </row>
    <row r="100" spans="1:42" ht="15" customHeight="1">
      <c r="A100" s="35"/>
      <c r="B100" s="3" t="s">
        <v>536</v>
      </c>
      <c r="C100" s="301"/>
      <c r="D100" s="630">
        <f>_xlfn.SINGLE(ROUND(SUM(D90:D99),1))</f>
        <v>577</v>
      </c>
      <c r="E100" s="13"/>
      <c r="F100" s="630">
        <f>_xlfn.SINGLE(ROUND(SUM(F90:F99),1))</f>
        <v>1326.5</v>
      </c>
      <c r="G100" s="13"/>
      <c r="H100" s="630">
        <f>_xlfn.SINGLE(ROUND(SUM(H90:H99),1))</f>
        <v>1549</v>
      </c>
      <c r="I100" s="13"/>
      <c r="J100" s="630">
        <f>_xlfn.SINGLE(ROUND(SUM(J90:J99),1))</f>
        <v>1049.0999999999999</v>
      </c>
      <c r="K100" s="13"/>
      <c r="L100" s="630">
        <f>_xlfn.SINGLE(ROUND(SUM(L90:L99),1))</f>
        <v>1217.0999999999999</v>
      </c>
      <c r="M100" s="13"/>
      <c r="N100" s="630">
        <f>_xlfn.SINGLE(ROUND(SUM(N90:N99),1))</f>
        <v>4827.8</v>
      </c>
      <c r="O100" s="13"/>
      <c r="P100" s="630">
        <f>_xlfn.SINGLE(ROUND(SUM(P90:P99),1))</f>
        <v>1520.6</v>
      </c>
      <c r="Q100" s="13"/>
      <c r="R100" s="630">
        <f>_xlfn.SINGLE(ROUND(SUM(R90:R99),1))</f>
        <v>1572.3</v>
      </c>
      <c r="S100" s="13"/>
      <c r="T100" s="630">
        <f>_xlfn.SINGLE(ROUND(SUM(T90:T99),1))</f>
        <v>2009.3</v>
      </c>
      <c r="U100" s="13"/>
      <c r="V100" s="630">
        <f>_xlfn.SINGLE(ROUND(SUM(V90:V99),1))</f>
        <v>2433.5</v>
      </c>
      <c r="W100" s="13"/>
      <c r="X100" s="630">
        <f>_xlfn.SINGLE(ROUND(SUM(X90:X99),1))</f>
        <v>1049</v>
      </c>
      <c r="Y100" s="13"/>
      <c r="Z100" s="630">
        <f>_xlfn.SINGLE(ROUND(SUM(Z90:Z99),1))</f>
        <v>0</v>
      </c>
      <c r="AA100" s="13"/>
      <c r="AB100" s="14"/>
      <c r="AC100" s="687">
        <f>ROUND(SUM(AC90:AC99),1)</f>
        <v>19131.2</v>
      </c>
      <c r="AD100" s="13"/>
      <c r="AE100" s="683"/>
      <c r="AF100" s="687">
        <f>ROUND(SUM(AF90:AF99),1)</f>
        <v>18097</v>
      </c>
      <c r="AG100" s="79"/>
      <c r="AH100" s="13"/>
      <c r="AI100" s="687">
        <f>_xlfn.SINGLE(ROUND(SUM(AC100-AF100),1))</f>
        <v>1034.2</v>
      </c>
      <c r="AJ100" s="40"/>
      <c r="AK100" s="946">
        <f>_xlfn.SINGLE(ROUND(SUM((AC100-AF100)/ABS(AF100)),3))</f>
        <v>5.7000000000000002E-2</v>
      </c>
      <c r="AL100" s="1610"/>
      <c r="AM100" s="1610"/>
      <c r="AP100" s="1302"/>
    </row>
    <row r="101" spans="1:42" ht="15" customHeight="1">
      <c r="A101" s="35"/>
      <c r="B101" s="301" t="s">
        <v>517</v>
      </c>
      <c r="C101" s="301"/>
      <c r="D101" s="274"/>
      <c r="E101" s="274"/>
      <c r="F101" s="274"/>
      <c r="G101" s="274"/>
      <c r="H101" s="274"/>
      <c r="I101" s="274"/>
      <c r="J101" s="274"/>
      <c r="K101" s="274"/>
      <c r="L101" s="274"/>
      <c r="M101" s="274"/>
      <c r="N101" s="274"/>
      <c r="O101" s="274"/>
      <c r="P101" s="274"/>
      <c r="Q101" s="274"/>
      <c r="R101" s="274"/>
      <c r="S101" s="274"/>
      <c r="T101" s="274"/>
      <c r="U101" s="274"/>
      <c r="V101" s="274"/>
      <c r="W101" s="274"/>
      <c r="X101" s="377"/>
      <c r="Y101" s="274"/>
      <c r="Z101" s="274"/>
      <c r="AA101" s="274"/>
      <c r="AB101" s="534"/>
      <c r="AC101" s="274"/>
      <c r="AD101" s="274"/>
      <c r="AE101" s="535"/>
      <c r="AF101" s="274"/>
      <c r="AG101" s="530"/>
      <c r="AH101" s="274"/>
      <c r="AI101" s="274"/>
      <c r="AJ101" s="374"/>
      <c r="AK101" s="293"/>
      <c r="AL101" s="1610"/>
      <c r="AM101" s="1610"/>
      <c r="AP101" s="1302"/>
    </row>
    <row r="102" spans="1:42" ht="15" customHeight="1">
      <c r="A102" s="35"/>
      <c r="B102" s="301" t="s">
        <v>462</v>
      </c>
      <c r="C102" s="301"/>
      <c r="D102" s="377">
        <v>470.8</v>
      </c>
      <c r="E102" s="274"/>
      <c r="F102" s="377">
        <v>473.09999999999997</v>
      </c>
      <c r="G102" s="377"/>
      <c r="H102" s="377">
        <v>434.10000000000008</v>
      </c>
      <c r="I102" s="274"/>
      <c r="J102" s="377">
        <v>728.59999999999991</v>
      </c>
      <c r="K102" s="565"/>
      <c r="L102" s="377">
        <v>467.39999999999986</v>
      </c>
      <c r="M102" s="565"/>
      <c r="N102" s="377">
        <v>442.79999999999973</v>
      </c>
      <c r="O102" s="565"/>
      <c r="P102" s="377">
        <v>492.70000000000027</v>
      </c>
      <c r="Q102" s="565"/>
      <c r="R102" s="377">
        <v>485.90000000000009</v>
      </c>
      <c r="S102" s="565"/>
      <c r="T102" s="377">
        <v>694.49999999999955</v>
      </c>
      <c r="U102" s="565"/>
      <c r="V102" s="377">
        <v>482</v>
      </c>
      <c r="W102" s="565"/>
      <c r="X102" s="377">
        <f t="shared" ref="X102:X105" si="10">$AC102-SUM($D102:$V102)</f>
        <v>480.80000000000109</v>
      </c>
      <c r="Y102" s="565"/>
      <c r="Z102" s="377"/>
      <c r="AA102" s="274"/>
      <c r="AB102" s="535"/>
      <c r="AC102" s="542">
        <v>5652.7000000000007</v>
      </c>
      <c r="AD102" s="297"/>
      <c r="AE102" s="1857"/>
      <c r="AF102" s="542">
        <v>5318.7</v>
      </c>
      <c r="AG102" s="530"/>
      <c r="AH102" s="274"/>
      <c r="AI102" s="274">
        <f>_xlfn.SINGLE(ROUND(SUM(+AC102-AF102),1))</f>
        <v>334</v>
      </c>
      <c r="AJ102" s="274"/>
      <c r="AK102" s="293">
        <f>_xlfn.SINGLE(ROUND(IF(AF102=0,0,AI102/ABS(AF102)),3))</f>
        <v>6.3E-2</v>
      </c>
      <c r="AL102" s="1610"/>
      <c r="AM102" s="1610"/>
      <c r="AP102" s="1302"/>
    </row>
    <row r="103" spans="1:42" ht="15" customHeight="1">
      <c r="A103" s="35"/>
      <c r="B103" s="301" t="s">
        <v>518</v>
      </c>
      <c r="C103" s="301"/>
      <c r="D103" s="377">
        <v>272.7</v>
      </c>
      <c r="E103" s="274"/>
      <c r="F103" s="377">
        <v>298.40000000000003</v>
      </c>
      <c r="G103" s="377"/>
      <c r="H103" s="377">
        <v>275.09999999999997</v>
      </c>
      <c r="I103" s="274"/>
      <c r="J103" s="377">
        <v>329.59999999999985</v>
      </c>
      <c r="K103" s="565"/>
      <c r="L103" s="377">
        <v>309.90000000000015</v>
      </c>
      <c r="M103" s="565"/>
      <c r="N103" s="377">
        <v>296.59999999999985</v>
      </c>
      <c r="O103" s="565"/>
      <c r="P103" s="377">
        <v>372.50000000000023</v>
      </c>
      <c r="Q103" s="565"/>
      <c r="R103" s="377">
        <v>265.69999999999982</v>
      </c>
      <c r="S103" s="565"/>
      <c r="T103" s="377">
        <v>286.59999999999991</v>
      </c>
      <c r="U103" s="565"/>
      <c r="V103" s="377">
        <v>372.40000000000009</v>
      </c>
      <c r="W103" s="565"/>
      <c r="X103" s="377">
        <f t="shared" si="10"/>
        <v>317.20000000000027</v>
      </c>
      <c r="Y103" s="565"/>
      <c r="Z103" s="377"/>
      <c r="AA103" s="274"/>
      <c r="AB103" s="535"/>
      <c r="AC103" s="542">
        <v>3396.7000000000003</v>
      </c>
      <c r="AD103" s="297"/>
      <c r="AE103" s="1857"/>
      <c r="AF103" s="542">
        <v>3210.2</v>
      </c>
      <c r="AG103" s="530"/>
      <c r="AH103" s="274"/>
      <c r="AI103" s="274">
        <f>_xlfn.SINGLE(ROUND(SUM(+AC103-AF103),1))</f>
        <v>186.5</v>
      </c>
      <c r="AJ103" s="274"/>
      <c r="AK103" s="293">
        <f>_xlfn.SINGLE(ROUND(IF(AF103=0,0,AI103/ABS(AF103)),3))</f>
        <v>5.8000000000000003E-2</v>
      </c>
      <c r="AL103" s="1610"/>
      <c r="AM103" s="1610"/>
      <c r="AP103" s="1302"/>
    </row>
    <row r="104" spans="1:42" ht="15" customHeight="1">
      <c r="A104" s="35"/>
      <c r="B104" s="301" t="s">
        <v>519</v>
      </c>
      <c r="C104" s="301"/>
      <c r="D104" s="377">
        <v>14.7</v>
      </c>
      <c r="E104" s="274"/>
      <c r="F104" s="377">
        <v>129.80000000000001</v>
      </c>
      <c r="G104" s="377"/>
      <c r="H104" s="377">
        <v>78.800000000000011</v>
      </c>
      <c r="I104" s="274"/>
      <c r="J104" s="377">
        <v>106.39999999999998</v>
      </c>
      <c r="K104" s="565"/>
      <c r="L104" s="377">
        <v>71.600000000000023</v>
      </c>
      <c r="M104" s="565"/>
      <c r="N104" s="377">
        <v>94.099999999999966</v>
      </c>
      <c r="O104" s="565"/>
      <c r="P104" s="377">
        <v>115.10000000000002</v>
      </c>
      <c r="Q104" s="565"/>
      <c r="R104" s="377">
        <v>85</v>
      </c>
      <c r="S104" s="565"/>
      <c r="T104" s="377">
        <v>155.89999999999998</v>
      </c>
      <c r="U104" s="565"/>
      <c r="V104" s="377">
        <v>149</v>
      </c>
      <c r="W104" s="565"/>
      <c r="X104" s="377">
        <f t="shared" si="10"/>
        <v>76.899999999999977</v>
      </c>
      <c r="Y104" s="565"/>
      <c r="Z104" s="377"/>
      <c r="AA104" s="274"/>
      <c r="AB104" s="535"/>
      <c r="AC104" s="542">
        <v>1077.3</v>
      </c>
      <c r="AD104" s="297"/>
      <c r="AE104" s="1857"/>
      <c r="AF104" s="542">
        <v>977.4</v>
      </c>
      <c r="AG104" s="530"/>
      <c r="AH104" s="274"/>
      <c r="AI104" s="274">
        <f>_xlfn.SINGLE(ROUND(SUM(+AC104-AF104),1))</f>
        <v>99.9</v>
      </c>
      <c r="AJ104" s="274"/>
      <c r="AK104" s="293">
        <f>_xlfn.SINGLE(ROUND(IF(AF104=0,0,AI104/ABS(AF104)),3))</f>
        <v>0.10199999999999999</v>
      </c>
      <c r="AL104" s="1610"/>
      <c r="AM104" s="1610"/>
      <c r="AP104" s="1302"/>
    </row>
    <row r="105" spans="1:42" ht="15" customHeight="1">
      <c r="A105" s="35"/>
      <c r="B105" s="301" t="s">
        <v>521</v>
      </c>
      <c r="C105" s="301"/>
      <c r="D105" s="377">
        <v>0</v>
      </c>
      <c r="E105" s="274"/>
      <c r="F105" s="377">
        <v>0</v>
      </c>
      <c r="G105" s="377"/>
      <c r="H105" s="377">
        <v>0</v>
      </c>
      <c r="I105" s="274"/>
      <c r="J105" s="377">
        <v>0</v>
      </c>
      <c r="K105" s="565"/>
      <c r="L105" s="377">
        <v>0</v>
      </c>
      <c r="M105" s="565"/>
      <c r="N105" s="377">
        <v>0</v>
      </c>
      <c r="O105" s="565"/>
      <c r="P105" s="377">
        <v>0</v>
      </c>
      <c r="Q105" s="565"/>
      <c r="R105" s="377">
        <v>0</v>
      </c>
      <c r="S105" s="565"/>
      <c r="T105" s="377">
        <v>0</v>
      </c>
      <c r="U105" s="565"/>
      <c r="V105" s="377">
        <v>0</v>
      </c>
      <c r="W105" s="565"/>
      <c r="X105" s="906">
        <f t="shared" si="10"/>
        <v>0</v>
      </c>
      <c r="Y105" s="565"/>
      <c r="Z105" s="377"/>
      <c r="AA105" s="274"/>
      <c r="AB105" s="535"/>
      <c r="AC105" s="542">
        <v>0</v>
      </c>
      <c r="AD105" s="297"/>
      <c r="AE105" s="1857"/>
      <c r="AF105" s="542">
        <v>0</v>
      </c>
      <c r="AG105" s="530"/>
      <c r="AH105" s="274"/>
      <c r="AI105" s="274">
        <f>_xlfn.SINGLE(ROUND(SUM(+AC105-AF105),1))</f>
        <v>0</v>
      </c>
      <c r="AJ105" s="274"/>
      <c r="AK105" s="276">
        <f>_xlfn.SINGLE(ROUND(IF(AF105=0,0,AI105/ABS(AF105)),3))</f>
        <v>0</v>
      </c>
      <c r="AL105" s="1610"/>
      <c r="AM105" s="1610"/>
      <c r="AP105" s="1302"/>
    </row>
    <row r="106" spans="1:42" ht="15" customHeight="1">
      <c r="A106" s="35"/>
      <c r="B106" s="301"/>
      <c r="C106" s="301"/>
      <c r="D106" s="629"/>
      <c r="E106" s="274"/>
      <c r="F106" s="629"/>
      <c r="G106" s="274"/>
      <c r="H106" s="629"/>
      <c r="I106" s="274"/>
      <c r="J106" s="629"/>
      <c r="K106" s="274"/>
      <c r="L106" s="629"/>
      <c r="M106" s="274"/>
      <c r="N106" s="629"/>
      <c r="O106" s="274"/>
      <c r="P106" s="629"/>
      <c r="Q106" s="274"/>
      <c r="R106" s="629"/>
      <c r="S106" s="274"/>
      <c r="T106" s="629"/>
      <c r="U106" s="274"/>
      <c r="V106" s="629"/>
      <c r="W106" s="274"/>
      <c r="X106" s="377"/>
      <c r="Y106" s="274"/>
      <c r="Z106" s="629"/>
      <c r="AA106" s="274"/>
      <c r="AB106" s="534"/>
      <c r="AC106" s="629"/>
      <c r="AD106" s="274"/>
      <c r="AE106" s="535"/>
      <c r="AF106" s="629"/>
      <c r="AG106" s="530"/>
      <c r="AH106" s="274"/>
      <c r="AI106" s="1064"/>
      <c r="AJ106" s="374"/>
      <c r="AK106" s="1065"/>
      <c r="AL106" s="1610"/>
      <c r="AM106" s="1610"/>
      <c r="AP106" s="1302"/>
    </row>
    <row r="107" spans="1:42" ht="15" customHeight="1">
      <c r="A107" s="35"/>
      <c r="B107" s="3" t="s">
        <v>1467</v>
      </c>
      <c r="C107" s="301"/>
      <c r="D107" s="13">
        <f>_xlfn.SINGLE(ROUND(SUM(D100:D105),1))</f>
        <v>1335.2</v>
      </c>
      <c r="E107" s="13"/>
      <c r="F107" s="13">
        <f>_xlfn.SINGLE(ROUND(SUM(F100:F105),1))</f>
        <v>2227.8000000000002</v>
      </c>
      <c r="G107" s="13"/>
      <c r="H107" s="13">
        <f>_xlfn.SINGLE(ROUND(SUM(H100:H105),1))</f>
        <v>2337</v>
      </c>
      <c r="I107" s="13"/>
      <c r="J107" s="13">
        <f>_xlfn.SINGLE(ROUND(SUM(J100:J105),1))</f>
        <v>2213.6999999999998</v>
      </c>
      <c r="K107" s="13"/>
      <c r="L107" s="13">
        <f>_xlfn.SINGLE(ROUND(SUM(L100:L105),1))</f>
        <v>2066</v>
      </c>
      <c r="M107" s="13"/>
      <c r="N107" s="13">
        <f>_xlfn.SINGLE(ROUND(SUM(N100:N105),1))</f>
        <v>5661.3</v>
      </c>
      <c r="O107" s="13"/>
      <c r="P107" s="13">
        <f>_xlfn.SINGLE(ROUND(SUM(P100:P105),1))</f>
        <v>2500.9</v>
      </c>
      <c r="Q107" s="13"/>
      <c r="R107" s="13">
        <f>_xlfn.SINGLE(ROUND(SUM(R100:R105),1))</f>
        <v>2408.9</v>
      </c>
      <c r="S107" s="13"/>
      <c r="T107" s="13">
        <v>3146.3</v>
      </c>
      <c r="U107" s="13"/>
      <c r="V107" s="13">
        <f>_xlfn.SINGLE(ROUND(SUM(V100:V105),1))</f>
        <v>3436.9</v>
      </c>
      <c r="W107" s="13"/>
      <c r="X107" s="367">
        <f>_xlfn.SINGLE(ROUND(SUM(X100:X105),1))</f>
        <v>1923.9</v>
      </c>
      <c r="Y107" s="13"/>
      <c r="Z107" s="13">
        <f>_xlfn.SINGLE(ROUND(SUM(Z100:Z105),1))</f>
        <v>0</v>
      </c>
      <c r="AA107" s="13"/>
      <c r="AB107" s="14"/>
      <c r="AC107" s="13">
        <f>ROUND(SUM(AC100:AC105),1)</f>
        <v>29257.9</v>
      </c>
      <c r="AD107" s="13"/>
      <c r="AE107" s="683"/>
      <c r="AF107" s="13">
        <f>ROUND(SUM(AF100:AF105),1)</f>
        <v>27603.3</v>
      </c>
      <c r="AG107" s="79"/>
      <c r="AH107" s="13"/>
      <c r="AI107" s="367">
        <f>_xlfn.SINGLE(ROUND(SUM(AC107-AF107),1))</f>
        <v>1654.6</v>
      </c>
      <c r="AJ107" s="61"/>
      <c r="AK107" s="378">
        <f>_xlfn.SINGLE(ROUND(SUM((AC107-AF107)/ABS(AF107)),3))</f>
        <v>0.06</v>
      </c>
      <c r="AL107" s="1610"/>
      <c r="AM107" s="1610"/>
      <c r="AP107" s="1302"/>
    </row>
    <row r="108" spans="1:42" ht="15" customHeight="1">
      <c r="A108" s="35"/>
      <c r="B108" s="301"/>
      <c r="C108" s="301"/>
      <c r="D108" s="629"/>
      <c r="E108" s="274"/>
      <c r="F108" s="629"/>
      <c r="G108" s="274"/>
      <c r="H108" s="629"/>
      <c r="I108" s="274"/>
      <c r="J108" s="629"/>
      <c r="K108" s="274"/>
      <c r="L108" s="629"/>
      <c r="M108" s="274"/>
      <c r="N108" s="629"/>
      <c r="O108" s="274"/>
      <c r="P108" s="629"/>
      <c r="Q108" s="274"/>
      <c r="R108" s="629"/>
      <c r="S108" s="274"/>
      <c r="T108" s="629"/>
      <c r="U108" s="274"/>
      <c r="V108" s="629"/>
      <c r="W108" s="274"/>
      <c r="X108" s="377"/>
      <c r="Y108" s="274"/>
      <c r="Z108" s="629"/>
      <c r="AA108" s="274"/>
      <c r="AB108" s="534"/>
      <c r="AC108" s="629"/>
      <c r="AD108" s="274"/>
      <c r="AE108" s="535"/>
      <c r="AF108" s="629"/>
      <c r="AG108" s="530"/>
      <c r="AH108" s="274"/>
      <c r="AI108" s="274"/>
      <c r="AJ108" s="374"/>
      <c r="AK108" s="293"/>
      <c r="AL108" s="1610"/>
      <c r="AM108" s="1610"/>
      <c r="AP108" s="1302"/>
    </row>
    <row r="109" spans="1:42" ht="15" customHeight="1">
      <c r="A109" s="35"/>
      <c r="B109" s="3" t="s">
        <v>466</v>
      </c>
      <c r="C109" s="301"/>
      <c r="D109" s="274"/>
      <c r="E109" s="274"/>
      <c r="F109" s="274"/>
      <c r="G109" s="274"/>
      <c r="H109" s="274"/>
      <c r="I109" s="274"/>
      <c r="J109" s="274"/>
      <c r="K109" s="274"/>
      <c r="L109" s="274"/>
      <c r="M109" s="274"/>
      <c r="N109" s="274"/>
      <c r="O109" s="274"/>
      <c r="P109" s="274"/>
      <c r="Q109" s="274"/>
      <c r="R109" s="274"/>
      <c r="S109" s="274"/>
      <c r="T109" s="274"/>
      <c r="U109" s="274"/>
      <c r="V109" s="274"/>
      <c r="W109" s="274"/>
      <c r="X109" s="377"/>
      <c r="Y109" s="274"/>
      <c r="Z109" s="274"/>
      <c r="AA109" s="274"/>
      <c r="AB109" s="534"/>
      <c r="AC109" s="274"/>
      <c r="AD109" s="274"/>
      <c r="AE109" s="535"/>
      <c r="AF109" s="274"/>
      <c r="AG109" s="530"/>
      <c r="AH109" s="274"/>
      <c r="AI109" s="274"/>
      <c r="AJ109" s="374"/>
      <c r="AK109" s="293"/>
      <c r="AL109" s="1610"/>
      <c r="AM109" s="1610"/>
      <c r="AP109" s="1302"/>
    </row>
    <row r="110" spans="1:42" ht="15" customHeight="1">
      <c r="A110" s="35"/>
      <c r="B110" s="3" t="s">
        <v>1468</v>
      </c>
      <c r="C110" s="301"/>
      <c r="D110" s="13">
        <f>_xlfn.SINGLE(ROUND(SUM(D86-D107),1))</f>
        <v>979.7</v>
      </c>
      <c r="E110" s="13"/>
      <c r="F110" s="13">
        <f>_xlfn.SINGLE(ROUND(SUM(F86-F107),1))</f>
        <v>-295.3</v>
      </c>
      <c r="G110" s="13"/>
      <c r="H110" s="13">
        <f>_xlfn.SINGLE(ROUND(SUM(H86-H107),1))</f>
        <v>19.100000000000001</v>
      </c>
      <c r="I110" s="13"/>
      <c r="J110" s="13">
        <f>_xlfn.SINGLE(ROUND(SUM(J86-J107),1))</f>
        <v>-47.6</v>
      </c>
      <c r="K110" s="13"/>
      <c r="L110" s="13">
        <f>_xlfn.SINGLE(ROUND(SUM(L86-L107),1))</f>
        <v>-46.2</v>
      </c>
      <c r="M110" s="13"/>
      <c r="N110" s="13">
        <f>_xlfn.SINGLE(ROUND(SUM(N86-N107),1))</f>
        <v>-2846.8</v>
      </c>
      <c r="O110" s="13"/>
      <c r="P110" s="13">
        <f>_xlfn.SINGLE(ROUND(SUM(P86-P107),1))</f>
        <v>-166.6</v>
      </c>
      <c r="Q110" s="13"/>
      <c r="R110" s="13">
        <f>_xlfn.SINGLE(ROUND(SUM(R86-R107),1))</f>
        <v>-404.1</v>
      </c>
      <c r="S110" s="13"/>
      <c r="T110" s="13">
        <f>_xlfn.SINGLE(ROUND(SUM(T86-T107),1))</f>
        <v>-699.9</v>
      </c>
      <c r="U110" s="13"/>
      <c r="V110" s="13">
        <f>_xlfn.SINGLE(ROUND(SUM(V86-V107),1))</f>
        <v>501.4</v>
      </c>
      <c r="W110" s="13"/>
      <c r="X110" s="367">
        <f>_xlfn.SINGLE(ROUND(SUM(X86-X107),1))</f>
        <v>341.1</v>
      </c>
      <c r="Y110" s="13"/>
      <c r="Z110" s="13">
        <f>_xlfn.SINGLE(ROUND(SUM(Z86-Z107),1))</f>
        <v>0</v>
      </c>
      <c r="AA110" s="13"/>
      <c r="AB110" s="14"/>
      <c r="AC110" s="13">
        <f>ROUND(SUM(AC86-AC107),1)</f>
        <v>-2665.2</v>
      </c>
      <c r="AD110" s="13"/>
      <c r="AE110" s="683"/>
      <c r="AF110" s="13">
        <f>ROUND(SUM(AF86-AF107),1)</f>
        <v>-1668.4</v>
      </c>
      <c r="AG110" s="79"/>
      <c r="AH110" s="13"/>
      <c r="AI110" s="367">
        <f>_xlfn.SINGLE(ROUND(SUM(AC110-AF110),1))</f>
        <v>-996.8</v>
      </c>
      <c r="AJ110" s="61"/>
      <c r="AK110" s="625">
        <f>_xlfn.SINGLE(ROUND(IF(AF110=0,0,AI110/ABS(AF110)),3))</f>
        <v>-0.59699999999999998</v>
      </c>
      <c r="AL110" s="1610"/>
      <c r="AM110" s="1610"/>
      <c r="AP110" s="1302"/>
    </row>
    <row r="111" spans="1:42" ht="15" customHeight="1">
      <c r="A111" s="35"/>
      <c r="B111" s="301"/>
      <c r="C111" s="301"/>
      <c r="D111" s="629"/>
      <c r="E111" s="274"/>
      <c r="F111" s="629"/>
      <c r="G111" s="274"/>
      <c r="H111" s="629"/>
      <c r="I111" s="274"/>
      <c r="J111" s="629"/>
      <c r="K111" s="274"/>
      <c r="L111" s="629"/>
      <c r="M111" s="274"/>
      <c r="N111" s="629"/>
      <c r="O111" s="274"/>
      <c r="P111" s="629"/>
      <c r="Q111" s="274"/>
      <c r="R111" s="629"/>
      <c r="S111" s="274"/>
      <c r="T111" s="629"/>
      <c r="U111" s="274"/>
      <c r="V111" s="629"/>
      <c r="W111" s="274"/>
      <c r="X111" s="377"/>
      <c r="Y111" s="274"/>
      <c r="Z111" s="629"/>
      <c r="AA111" s="274"/>
      <c r="AB111" s="534"/>
      <c r="AC111" s="629"/>
      <c r="AD111" s="274"/>
      <c r="AE111" s="535"/>
      <c r="AF111" s="629"/>
      <c r="AG111" s="530"/>
      <c r="AH111" s="274"/>
      <c r="AI111" s="274"/>
      <c r="AJ111" s="374"/>
      <c r="AK111" s="293"/>
      <c r="AL111" s="1610"/>
      <c r="AM111" s="1610"/>
      <c r="AP111" s="1302"/>
    </row>
    <row r="112" spans="1:42" ht="15" customHeight="1">
      <c r="A112" s="35"/>
      <c r="B112" s="3" t="s">
        <v>145</v>
      </c>
      <c r="C112" s="301"/>
      <c r="D112" s="274"/>
      <c r="E112" s="274"/>
      <c r="F112" s="274"/>
      <c r="G112" s="274"/>
      <c r="H112" s="274"/>
      <c r="I112" s="274"/>
      <c r="J112" s="274"/>
      <c r="K112" s="274"/>
      <c r="L112" s="274"/>
      <c r="M112" s="274"/>
      <c r="N112" s="274"/>
      <c r="O112" s="274"/>
      <c r="P112" s="274"/>
      <c r="Q112" s="274"/>
      <c r="S112" s="274"/>
      <c r="T112" s="274"/>
      <c r="U112" s="274"/>
      <c r="V112" s="274"/>
      <c r="W112" s="274"/>
      <c r="X112" s="377"/>
      <c r="Y112" s="274"/>
      <c r="Z112" s="274"/>
      <c r="AA112" s="274"/>
      <c r="AB112" s="534"/>
      <c r="AC112" s="274"/>
      <c r="AD112" s="274"/>
      <c r="AE112" s="535"/>
      <c r="AF112" s="274"/>
      <c r="AG112" s="530"/>
      <c r="AH112" s="274"/>
      <c r="AI112" s="274"/>
      <c r="AJ112" s="374"/>
      <c r="AK112" s="293"/>
      <c r="AL112" s="1610"/>
      <c r="AM112" s="1610"/>
      <c r="AP112" s="1302"/>
    </row>
    <row r="113" spans="1:46" ht="15" customHeight="1">
      <c r="A113" s="35"/>
      <c r="B113" s="301" t="s">
        <v>537</v>
      </c>
      <c r="C113" s="301"/>
      <c r="D113" s="377">
        <v>389.2</v>
      </c>
      <c r="E113" s="274"/>
      <c r="F113" s="377">
        <v>306.50000000000006</v>
      </c>
      <c r="G113" s="377"/>
      <c r="H113" s="377">
        <v>1142.8</v>
      </c>
      <c r="I113" s="274"/>
      <c r="J113" s="377">
        <v>282.09999999999991</v>
      </c>
      <c r="K113" s="565"/>
      <c r="L113" s="377">
        <v>353.10000000000014</v>
      </c>
      <c r="M113" s="565"/>
      <c r="N113" s="377">
        <v>86.300000000000182</v>
      </c>
      <c r="O113" s="565"/>
      <c r="P113" s="377">
        <v>136.69999999999982</v>
      </c>
      <c r="Q113" s="565"/>
      <c r="R113" s="377">
        <v>383.70000000000027</v>
      </c>
      <c r="S113" s="565"/>
      <c r="T113" s="377">
        <v>148</v>
      </c>
      <c r="U113" s="565"/>
      <c r="V113" s="377">
        <v>133.09999999999991</v>
      </c>
      <c r="W113" s="565"/>
      <c r="X113" s="377">
        <f>$AC113-SUM($D113:$V113)</f>
        <v>257.40000000000009</v>
      </c>
      <c r="Y113" s="565"/>
      <c r="Z113" s="377"/>
      <c r="AA113" s="274"/>
      <c r="AB113" s="535"/>
      <c r="AC113" s="542">
        <v>3618.9</v>
      </c>
      <c r="AD113" s="297"/>
      <c r="AE113" s="1857"/>
      <c r="AF113" s="542">
        <v>2933.4</v>
      </c>
      <c r="AG113" s="530"/>
      <c r="AH113" s="274"/>
      <c r="AI113" s="274">
        <f>_xlfn.SINGLE(ROUND(SUM(+AC113-AF113),1))</f>
        <v>685.5</v>
      </c>
      <c r="AJ113" s="274"/>
      <c r="AK113" s="293">
        <f>_xlfn.SINGLE(ROUND(IF(AF113=0,0,AI113/ABS(AF113)),3))</f>
        <v>0.23400000000000001</v>
      </c>
      <c r="AL113" s="1610"/>
      <c r="AM113" s="1610"/>
      <c r="AP113" s="1302"/>
    </row>
    <row r="114" spans="1:46" ht="15" customHeight="1">
      <c r="A114" s="35"/>
      <c r="B114" s="301" t="s">
        <v>524</v>
      </c>
      <c r="C114" s="301"/>
      <c r="D114" s="377">
        <v>-1.6</v>
      </c>
      <c r="E114" s="274"/>
      <c r="F114" s="377">
        <v>-2</v>
      </c>
      <c r="G114" s="377"/>
      <c r="H114" s="377">
        <v>-52.8</v>
      </c>
      <c r="I114" s="274"/>
      <c r="J114" s="377">
        <v>-7.3000000000000043</v>
      </c>
      <c r="K114" s="565"/>
      <c r="L114" s="377">
        <v>-16.70000000000001</v>
      </c>
      <c r="M114" s="565"/>
      <c r="N114" s="377">
        <v>-7.0999999999999943</v>
      </c>
      <c r="O114" s="565"/>
      <c r="P114" s="377">
        <v>-3</v>
      </c>
      <c r="Q114" s="565"/>
      <c r="R114" s="377">
        <v>-2.7999999999999972</v>
      </c>
      <c r="S114" s="565"/>
      <c r="T114" s="377">
        <v>-90.000000000000014</v>
      </c>
      <c r="U114" s="565"/>
      <c r="V114" s="377">
        <v>-34.799999999999983</v>
      </c>
      <c r="W114" s="565"/>
      <c r="X114" s="377">
        <f>$AC114-SUM($D114:$V114)</f>
        <v>-2.7000000000000171</v>
      </c>
      <c r="Y114" s="565"/>
      <c r="Z114" s="377"/>
      <c r="AA114" s="274"/>
      <c r="AB114" s="535"/>
      <c r="AC114" s="542">
        <v>-220.8</v>
      </c>
      <c r="AD114" s="297"/>
      <c r="AE114" s="1857"/>
      <c r="AF114" s="542">
        <v>-234.8</v>
      </c>
      <c r="AG114" s="530"/>
      <c r="AH114" s="274"/>
      <c r="AI114" s="274">
        <f>_xlfn.SINGLE(ROUND(SUM(+AC114-AF114)*-1,1))</f>
        <v>-14</v>
      </c>
      <c r="AJ114" s="274"/>
      <c r="AK114" s="553">
        <f>_xlfn.SINGLE(ROUND(IF(AF114=0,0,AI114/ABS(AF114)),3))</f>
        <v>-0.06</v>
      </c>
      <c r="AL114" s="1610"/>
      <c r="AM114" s="1610"/>
      <c r="AP114" s="1302"/>
    </row>
    <row r="115" spans="1:46" ht="15" customHeight="1">
      <c r="A115" s="35"/>
      <c r="B115" s="301"/>
      <c r="C115" s="301"/>
      <c r="D115" s="629"/>
      <c r="E115" s="274"/>
      <c r="F115" s="629"/>
      <c r="G115" s="274"/>
      <c r="H115" s="629"/>
      <c r="I115" s="274"/>
      <c r="J115" s="629"/>
      <c r="K115" s="274"/>
      <c r="L115" s="629"/>
      <c r="M115" s="274"/>
      <c r="N115" s="629"/>
      <c r="O115" s="274"/>
      <c r="P115" s="629"/>
      <c r="Q115" s="274"/>
      <c r="R115" s="629"/>
      <c r="S115" s="274"/>
      <c r="T115" s="629"/>
      <c r="U115" s="274"/>
      <c r="V115" s="629"/>
      <c r="W115" s="274"/>
      <c r="X115" s="629"/>
      <c r="Y115" s="274"/>
      <c r="Z115" s="629"/>
      <c r="AA115" s="274"/>
      <c r="AB115" s="534"/>
      <c r="AC115" s="629"/>
      <c r="AD115" s="274"/>
      <c r="AE115" s="535"/>
      <c r="AF115" s="629"/>
      <c r="AG115" s="530"/>
      <c r="AH115" s="274"/>
      <c r="AI115" s="1064"/>
      <c r="AJ115" s="374"/>
      <c r="AK115" s="1065"/>
      <c r="AL115" s="1610"/>
      <c r="AM115" s="1610"/>
      <c r="AP115" s="1302"/>
    </row>
    <row r="116" spans="1:46" ht="15" customHeight="1">
      <c r="A116" s="35"/>
      <c r="B116" s="3" t="s">
        <v>538</v>
      </c>
      <c r="C116" s="301"/>
      <c r="D116" s="13">
        <f>_xlfn.SINGLE(ROUND(SUM(D113:D115),1))</f>
        <v>387.6</v>
      </c>
      <c r="E116" s="13"/>
      <c r="F116" s="13">
        <f>_xlfn.SINGLE(ROUND(SUM(F113:F115),1))</f>
        <v>304.5</v>
      </c>
      <c r="G116" s="13"/>
      <c r="H116" s="13">
        <f>_xlfn.SINGLE(ROUND(SUM(H113:H115),1))</f>
        <v>1090</v>
      </c>
      <c r="I116" s="13"/>
      <c r="J116" s="13">
        <f>_xlfn.SINGLE(ROUND(SUM(J113:J115),1))</f>
        <v>274.8</v>
      </c>
      <c r="K116" s="13"/>
      <c r="L116" s="13">
        <f>_xlfn.SINGLE(ROUND(SUM(L113:L115),1))</f>
        <v>336.4</v>
      </c>
      <c r="M116" s="13"/>
      <c r="N116" s="13">
        <f>_xlfn.SINGLE(ROUND(SUM(N113:N115),1))</f>
        <v>79.2</v>
      </c>
      <c r="O116" s="13"/>
      <c r="P116" s="13">
        <f>_xlfn.SINGLE(ROUND(SUM(P113:P115),1))</f>
        <v>133.69999999999999</v>
      </c>
      <c r="Q116" s="13"/>
      <c r="R116" s="13">
        <f>_xlfn.SINGLE(ROUND(SUM(R113:R115),1))</f>
        <v>380.9</v>
      </c>
      <c r="S116" s="13"/>
      <c r="T116" s="13">
        <f>_xlfn.SINGLE(ROUND(SUM(T113:T115),1))</f>
        <v>58</v>
      </c>
      <c r="U116" s="13"/>
      <c r="V116" s="13">
        <f>_xlfn.SINGLE(ROUND(SUM(V113:V115),1))</f>
        <v>98.3</v>
      </c>
      <c r="W116" s="13"/>
      <c r="X116" s="13">
        <f>_xlfn.SINGLE(ROUND(SUM(X113:X115),1))</f>
        <v>254.7</v>
      </c>
      <c r="Y116" s="13"/>
      <c r="Z116" s="13">
        <f>_xlfn.SINGLE(ROUND(SUM(Z113:Z115),1))</f>
        <v>0</v>
      </c>
      <c r="AA116" s="13"/>
      <c r="AB116" s="14"/>
      <c r="AC116" s="13">
        <f>ROUND(SUM(AC113:AC115),1)</f>
        <v>3398.1</v>
      </c>
      <c r="AD116" s="13"/>
      <c r="AE116" s="683"/>
      <c r="AF116" s="13">
        <f>ROUND(SUM(AF113:AF115),1)</f>
        <v>2698.6</v>
      </c>
      <c r="AG116" s="79"/>
      <c r="AH116" s="13"/>
      <c r="AI116" s="367">
        <f>_xlfn.SINGLE(ROUND(SUM(AC116-AF116),1))</f>
        <v>699.5</v>
      </c>
      <c r="AJ116" s="40"/>
      <c r="AK116" s="378">
        <f>_xlfn.SINGLE(ROUND(SUM((AC116-AF116)/ABS(AF116)),3))</f>
        <v>0.25900000000000001</v>
      </c>
      <c r="AL116" s="1610"/>
      <c r="AM116" s="1610"/>
      <c r="AP116" s="1302"/>
    </row>
    <row r="117" spans="1:46" ht="15" customHeight="1">
      <c r="A117" s="35"/>
      <c r="B117" s="301"/>
      <c r="C117" s="301"/>
      <c r="D117" s="629"/>
      <c r="E117" s="274"/>
      <c r="F117" s="629"/>
      <c r="G117" s="274"/>
      <c r="H117" s="629"/>
      <c r="I117" s="274"/>
      <c r="J117" s="629"/>
      <c r="K117" s="274"/>
      <c r="L117" s="629"/>
      <c r="M117" s="274"/>
      <c r="N117" s="629"/>
      <c r="O117" s="274"/>
      <c r="P117" s="629"/>
      <c r="Q117" s="274"/>
      <c r="R117" s="629"/>
      <c r="S117" s="274"/>
      <c r="T117" s="629"/>
      <c r="U117" s="274"/>
      <c r="V117" s="629"/>
      <c r="W117" s="274"/>
      <c r="X117" s="629"/>
      <c r="Y117" s="274"/>
      <c r="Z117" s="629"/>
      <c r="AA117" s="274"/>
      <c r="AB117" s="534"/>
      <c r="AC117" s="629"/>
      <c r="AD117" s="274"/>
      <c r="AE117" s="535"/>
      <c r="AF117" s="629"/>
      <c r="AG117" s="530"/>
      <c r="AH117" s="274"/>
      <c r="AI117" s="274"/>
      <c r="AJ117" s="374"/>
      <c r="AK117" s="293"/>
      <c r="AL117" s="1610"/>
      <c r="AM117" s="1610"/>
      <c r="AP117" s="1302"/>
    </row>
    <row r="118" spans="1:46" ht="15" customHeight="1">
      <c r="A118" s="35"/>
      <c r="B118" s="3" t="s">
        <v>477</v>
      </c>
      <c r="C118" s="301"/>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534"/>
      <c r="AC118" s="274"/>
      <c r="AD118" s="274"/>
      <c r="AE118" s="535"/>
      <c r="AF118" s="274"/>
      <c r="AG118" s="530"/>
      <c r="AH118" s="274"/>
      <c r="AI118" s="274"/>
      <c r="AJ118" s="374"/>
      <c r="AK118" s="293"/>
      <c r="AL118" s="1610"/>
      <c r="AM118" s="1610"/>
      <c r="AP118" s="1302"/>
    </row>
    <row r="119" spans="1:46" ht="15" customHeight="1">
      <c r="A119" s="35"/>
      <c r="B119" s="3" t="s">
        <v>539</v>
      </c>
      <c r="C119" s="301"/>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534"/>
      <c r="AC119" s="274"/>
      <c r="AD119" s="274"/>
      <c r="AE119" s="535"/>
      <c r="AF119" s="274"/>
      <c r="AG119" s="530"/>
      <c r="AH119" s="274"/>
      <c r="AI119" s="274"/>
      <c r="AJ119" s="374"/>
      <c r="AK119" s="293"/>
      <c r="AL119" s="1610"/>
      <c r="AM119" s="1610"/>
      <c r="AP119" s="1302"/>
    </row>
    <row r="120" spans="1:46" ht="15" customHeight="1">
      <c r="A120" s="35"/>
      <c r="B120" s="3" t="s">
        <v>526</v>
      </c>
      <c r="C120" s="301"/>
      <c r="D120" s="367">
        <f>_xlfn.SINGLE(ROUND(SUM(D110+D116),1))</f>
        <v>1367.3</v>
      </c>
      <c r="E120" s="13"/>
      <c r="F120" s="367">
        <f>_xlfn.SINGLE(ROUND(SUM(F110+F116),1))</f>
        <v>9.1999999999999993</v>
      </c>
      <c r="G120" s="13"/>
      <c r="H120" s="367">
        <f>_xlfn.SINGLE(ROUND(SUM(H110+H116),1))</f>
        <v>1109.0999999999999</v>
      </c>
      <c r="I120" s="13"/>
      <c r="J120" s="367">
        <f>_xlfn.SINGLE(ROUND(SUM(J110+J116),1))</f>
        <v>227.2</v>
      </c>
      <c r="K120" s="13"/>
      <c r="L120" s="367">
        <f>_xlfn.SINGLE(ROUND(SUM(L110+L116),1))</f>
        <v>290.2</v>
      </c>
      <c r="M120" s="13"/>
      <c r="N120" s="367">
        <f>_xlfn.SINGLE(ROUND(SUM(N110+N116),1))</f>
        <v>-2767.6</v>
      </c>
      <c r="O120" s="13"/>
      <c r="P120" s="367">
        <f>_xlfn.SINGLE(ROUND(SUM(P110+P116),1))</f>
        <v>-32.9</v>
      </c>
      <c r="Q120" s="13"/>
      <c r="R120" s="367">
        <f>_xlfn.SINGLE(ROUND(SUM(R110+R116),1))</f>
        <v>-23.2</v>
      </c>
      <c r="S120" s="13"/>
      <c r="T120" s="367">
        <f>_xlfn.SINGLE(ROUND(SUM(T110+T116),1))</f>
        <v>-641.9</v>
      </c>
      <c r="U120" s="13"/>
      <c r="V120" s="367">
        <f>_xlfn.SINGLE(ROUND(SUM(V110+V116),1))</f>
        <v>599.70000000000005</v>
      </c>
      <c r="W120" s="13"/>
      <c r="X120" s="367">
        <f>_xlfn.SINGLE(ROUND(SUM(X110+X116),1))</f>
        <v>595.79999999999995</v>
      </c>
      <c r="Y120" s="13"/>
      <c r="Z120" s="367">
        <f>_xlfn.SINGLE(ROUND(SUM(Z110+Z116),1))</f>
        <v>0</v>
      </c>
      <c r="AA120" s="1264"/>
      <c r="AB120" s="13"/>
      <c r="AC120" s="367">
        <f>ROUND(SUM(AC110+AC116),1)</f>
        <v>732.9</v>
      </c>
      <c r="AD120" s="1266"/>
      <c r="AE120" s="13"/>
      <c r="AF120" s="367">
        <f>ROUND(SUM(AF110+AF116),1)</f>
        <v>1030.2</v>
      </c>
      <c r="AG120" s="530"/>
      <c r="AH120" s="13"/>
      <c r="AI120" s="367">
        <f>_xlfn.SINGLE(ROUND(SUM(AI110+AI116),1))</f>
        <v>-297.3</v>
      </c>
      <c r="AJ120" s="13"/>
      <c r="AK120" s="625">
        <f>_xlfn.SINGLE(ROUND(IF(AF120=0,0,AI120/ABS(AF120)),3))</f>
        <v>-0.28899999999999998</v>
      </c>
      <c r="AL120" s="1610"/>
      <c r="AM120" s="1610"/>
      <c r="AP120" s="1302"/>
    </row>
    <row r="121" spans="1:46" ht="15" customHeight="1">
      <c r="A121" s="35"/>
      <c r="B121" s="3"/>
      <c r="C121" s="301"/>
      <c r="D121" s="278"/>
      <c r="E121" s="278"/>
      <c r="F121" s="278"/>
      <c r="G121" s="278"/>
      <c r="H121" s="278"/>
      <c r="I121" s="278"/>
      <c r="J121" s="278"/>
      <c r="K121" s="278"/>
      <c r="L121" s="278"/>
      <c r="M121" s="278"/>
      <c r="N121" s="278"/>
      <c r="O121" s="278"/>
      <c r="P121" s="278"/>
      <c r="Q121" s="278"/>
      <c r="R121" s="278"/>
      <c r="S121" s="278"/>
      <c r="T121" s="20"/>
      <c r="U121" s="278"/>
      <c r="V121" s="278"/>
      <c r="W121" s="278"/>
      <c r="X121" s="278"/>
      <c r="Y121" s="278"/>
      <c r="Z121" s="278"/>
      <c r="AA121" s="278"/>
      <c r="AB121" s="1072"/>
      <c r="AC121" s="278"/>
      <c r="AD121" s="278"/>
      <c r="AE121" s="1072"/>
      <c r="AF121" s="278"/>
      <c r="AG121" s="278"/>
      <c r="AH121" s="1059"/>
      <c r="AI121" s="374"/>
      <c r="AJ121" s="374"/>
      <c r="AK121" s="293"/>
      <c r="AL121" s="1610"/>
      <c r="AM121" s="1610"/>
      <c r="AP121" s="1302"/>
    </row>
    <row r="122" spans="1:46" ht="17.25" customHeight="1" thickBot="1">
      <c r="A122" s="35"/>
      <c r="B122" s="3" t="s">
        <v>540</v>
      </c>
      <c r="C122" s="301"/>
      <c r="D122" s="74">
        <f>_xlfn.SINGLE(ROUND(SUM(+D120+D13),1))</f>
        <v>11009.1</v>
      </c>
      <c r="E122" s="278"/>
      <c r="F122" s="74">
        <f>_xlfn.SINGLE(ROUND(SUM(+F120+F13),1))</f>
        <v>11018.3</v>
      </c>
      <c r="G122" s="278"/>
      <c r="H122" s="74">
        <f>_xlfn.SINGLE(ROUND(SUM(+H120+H13),1))</f>
        <v>12127.4</v>
      </c>
      <c r="I122" s="278"/>
      <c r="J122" s="74">
        <f>_xlfn.SINGLE(ROUND(SUM(+J120+J13),1))</f>
        <v>12354.6</v>
      </c>
      <c r="K122" s="278"/>
      <c r="L122" s="74">
        <f>_xlfn.SINGLE(ROUND(SUM(+L120+L13),1))</f>
        <v>12644.8</v>
      </c>
      <c r="M122" s="278"/>
      <c r="N122" s="74">
        <f>_xlfn.SINGLE(ROUND(SUM(+N120+N13),1))</f>
        <v>9877.2000000000007</v>
      </c>
      <c r="O122" s="278"/>
      <c r="P122" s="74">
        <f>_xlfn.SINGLE(ROUND(SUM(+P120+P13),1))</f>
        <v>9844.2999999999993</v>
      </c>
      <c r="Q122" s="278"/>
      <c r="R122" s="74">
        <f>_xlfn.SINGLE(ROUND(SUM(+R120+R13),1))</f>
        <v>9821.1</v>
      </c>
      <c r="S122" s="278"/>
      <c r="T122" s="74">
        <f>_xlfn.SINGLE(ROUND(SUM(+T120+T13),1))</f>
        <v>9179.2000000000007</v>
      </c>
      <c r="U122" s="278"/>
      <c r="V122" s="74">
        <f>_xlfn.SINGLE(ROUND(SUM(+V120+V13),1))</f>
        <v>9778.9</v>
      </c>
      <c r="W122" s="278"/>
      <c r="X122" s="74">
        <f>_xlfn.SINGLE(ROUND(SUM(+X120+X13),1))</f>
        <v>10374.700000000001</v>
      </c>
      <c r="Y122" s="278"/>
      <c r="Z122" s="74">
        <f>_xlfn.SINGLE(ROUND(SUM(+Z120+Z13),1))</f>
        <v>0</v>
      </c>
      <c r="AA122" s="278"/>
      <c r="AB122" s="1072"/>
      <c r="AC122" s="74">
        <f>ROUND(SUM(+AC120+AC13),1)</f>
        <v>10374.700000000001</v>
      </c>
      <c r="AD122" s="278"/>
      <c r="AE122" s="1072"/>
      <c r="AF122" s="74">
        <f>ROUND(SUM(+AF120+AF13),1)</f>
        <v>10144</v>
      </c>
      <c r="AG122" s="278"/>
      <c r="AH122" s="1059"/>
      <c r="AI122" s="74">
        <f>_xlfn.SINGLE(ROUND(SUM(+AI120+AI13),1))</f>
        <v>230.7</v>
      </c>
      <c r="AJ122" s="374"/>
      <c r="AK122" s="81">
        <f>_xlfn.SINGLE(ROUND(IF(AF122=0,0,AI122/ABS(AF122)),3))</f>
        <v>2.3E-2</v>
      </c>
      <c r="AL122" s="1610"/>
      <c r="AM122" s="1610"/>
      <c r="AP122" s="1302"/>
    </row>
    <row r="123" spans="1:46" ht="15" customHeight="1" thickTop="1">
      <c r="A123" s="35"/>
      <c r="B123" s="3"/>
      <c r="C123" s="301"/>
      <c r="D123" s="278"/>
      <c r="E123" s="278"/>
      <c r="F123" s="278"/>
      <c r="G123" s="278"/>
      <c r="H123" s="278"/>
      <c r="I123" s="278"/>
      <c r="J123" s="278"/>
      <c r="K123" s="278"/>
      <c r="L123" s="278"/>
      <c r="M123" s="278"/>
      <c r="N123" s="278"/>
      <c r="O123" s="278"/>
      <c r="P123" s="20"/>
      <c r="Q123" s="278"/>
      <c r="R123" s="278"/>
      <c r="S123" s="278"/>
      <c r="T123" s="278"/>
      <c r="U123" s="278"/>
      <c r="V123" s="278"/>
      <c r="W123" s="278"/>
      <c r="X123" s="278"/>
      <c r="Y123" s="278"/>
      <c r="Z123" s="278"/>
      <c r="AA123" s="278"/>
      <c r="AB123" s="278"/>
      <c r="AC123" s="278"/>
      <c r="AD123" s="278"/>
      <c r="AE123" s="278"/>
      <c r="AF123" s="278"/>
      <c r="AG123" s="278"/>
      <c r="AH123" s="374"/>
      <c r="AI123" s="374"/>
      <c r="AJ123" s="374"/>
      <c r="AK123" s="293"/>
      <c r="AP123" s="1302"/>
    </row>
    <row r="124" spans="1:46" ht="15" customHeight="1">
      <c r="B124" s="62"/>
      <c r="C124" s="374"/>
      <c r="D124" s="416"/>
      <c r="E124" s="416"/>
      <c r="F124" s="416"/>
      <c r="G124" s="416"/>
      <c r="H124" s="416"/>
      <c r="I124" s="416"/>
      <c r="J124" s="416"/>
      <c r="K124" s="416"/>
      <c r="L124" s="416"/>
      <c r="M124" s="416"/>
      <c r="N124" s="416"/>
      <c r="O124" s="416"/>
      <c r="P124" s="416"/>
      <c r="Q124" s="416"/>
      <c r="R124" s="416"/>
      <c r="S124" s="416"/>
      <c r="T124" s="416"/>
      <c r="U124" s="416"/>
      <c r="V124" s="416"/>
      <c r="W124" s="416"/>
      <c r="X124" s="416"/>
      <c r="Y124" s="416"/>
      <c r="Z124" s="416"/>
      <c r="AA124" s="416"/>
      <c r="AB124" s="416"/>
      <c r="AC124" s="416"/>
      <c r="AD124" s="416"/>
      <c r="AE124" s="416"/>
      <c r="AF124" s="416" t="s">
        <v>103</v>
      </c>
      <c r="AG124" s="416"/>
      <c r="AH124" s="416"/>
      <c r="AI124" s="416"/>
      <c r="AJ124" s="416"/>
      <c r="AK124" s="293"/>
      <c r="AP124" s="1302"/>
      <c r="AQ124" s="83"/>
      <c r="AR124" s="83"/>
      <c r="AS124" s="83"/>
      <c r="AT124" s="83"/>
    </row>
    <row r="125" spans="1:46" ht="15" customHeight="1">
      <c r="B125" s="374"/>
      <c r="AK125" s="338"/>
    </row>
    <row r="126" spans="1:46" ht="15" customHeight="1">
      <c r="B126" s="374"/>
      <c r="AK126" s="338"/>
    </row>
    <row r="127" spans="1:46">
      <c r="AK127" s="338"/>
    </row>
    <row r="128" spans="1:46" ht="15" customHeight="1">
      <c r="AK128" s="338"/>
    </row>
    <row r="129" spans="4:37" ht="15" customHeight="1">
      <c r="D129" s="374"/>
      <c r="F129" s="374"/>
      <c r="H129" s="374"/>
      <c r="AI129" s="1880"/>
      <c r="AK129" s="338"/>
    </row>
    <row r="130" spans="4:37" ht="15" customHeight="1">
      <c r="AK130" s="338"/>
    </row>
    <row r="131" spans="4:37" ht="15" customHeight="1">
      <c r="AK131" s="338"/>
    </row>
    <row r="132" spans="4:37" ht="15" customHeight="1">
      <c r="AK132" s="338"/>
    </row>
    <row r="133" spans="4:37" ht="15" customHeight="1">
      <c r="AK133" s="338"/>
    </row>
    <row r="134" spans="4:37" ht="15" customHeight="1">
      <c r="AK134" s="338"/>
    </row>
    <row r="135" spans="4:37" ht="15" customHeight="1">
      <c r="AK135" s="338"/>
    </row>
    <row r="136" spans="4:37" ht="15" customHeight="1">
      <c r="AK136" s="338"/>
    </row>
    <row r="137" spans="4:37" ht="15" customHeight="1">
      <c r="AK137" s="338"/>
    </row>
    <row r="138" spans="4:37" ht="15" customHeight="1">
      <c r="AK138" s="338"/>
    </row>
    <row r="139" spans="4:37" ht="15" customHeight="1">
      <c r="AK139" s="338"/>
    </row>
    <row r="140" spans="4:37" ht="15" customHeight="1">
      <c r="AK140" s="338"/>
    </row>
    <row r="141" spans="4:37" ht="15" customHeight="1">
      <c r="AK141" s="338"/>
    </row>
    <row r="142" spans="4:37" ht="15" customHeight="1">
      <c r="AK142" s="338"/>
    </row>
    <row r="143" spans="4:37" ht="15" customHeight="1">
      <c r="AK143" s="338"/>
    </row>
    <row r="144" spans="4:37" ht="15" customHeight="1">
      <c r="AK144" s="338"/>
    </row>
    <row r="145" spans="37:37" ht="15" customHeight="1">
      <c r="AK145" s="338"/>
    </row>
    <row r="146" spans="37:37" ht="15" customHeight="1">
      <c r="AK146" s="338"/>
    </row>
    <row r="147" spans="37:37" ht="15" customHeight="1">
      <c r="AK147" s="338"/>
    </row>
    <row r="148" spans="37:37" ht="15" customHeight="1">
      <c r="AK148" s="338"/>
    </row>
    <row r="149" spans="37:37" ht="15" customHeight="1">
      <c r="AK149" s="338"/>
    </row>
    <row r="150" spans="37:37" ht="15" customHeight="1">
      <c r="AK150" s="338"/>
    </row>
    <row r="151" spans="37:37" ht="15" customHeight="1">
      <c r="AK151" s="338"/>
    </row>
    <row r="152" spans="37:37" ht="15" customHeight="1">
      <c r="AK152" s="338"/>
    </row>
    <row r="153" spans="37:37" ht="15" customHeight="1">
      <c r="AK153" s="338"/>
    </row>
    <row r="154" spans="37:37" ht="15" customHeight="1">
      <c r="AK154" s="338"/>
    </row>
    <row r="155" spans="37:37" ht="15" customHeight="1">
      <c r="AK155" s="338"/>
    </row>
    <row r="156" spans="37:37" ht="11.25" customHeight="1">
      <c r="AK156" s="338"/>
    </row>
    <row r="157" spans="37:37" ht="15" customHeight="1">
      <c r="AK157" s="338"/>
    </row>
    <row r="158" spans="37:37" ht="15" customHeight="1">
      <c r="AK158" s="338"/>
    </row>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B9:AK9"/>
  </mergeCells>
  <printOptions horizontalCentered="1"/>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K43 AK56 AK48 AK63 AK69 AK39:AK41 AK29:AK32 AK35:AK37" unlockedFormula="1"/>
    <ignoredError sqref="AK25:AK26 AK34 AK52 AK58 AK65 AK71 AK77 AK9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69140625" defaultRowHeight="12.5"/>
  <cols>
    <col min="1" max="1" width="1.69140625" style="67" customWidth="1"/>
    <col min="2" max="2" width="44.69140625" style="67" customWidth="1"/>
    <col min="3" max="3" width="1.69140625" style="67" customWidth="1"/>
    <col min="4" max="4" width="15.07421875" style="67" bestFit="1" customWidth="1"/>
    <col min="5" max="5" width="1.69140625" style="67" customWidth="1"/>
    <col min="6" max="6" width="12" style="67" customWidth="1"/>
    <col min="7" max="7" width="1.69140625" style="67" customWidth="1"/>
    <col min="8" max="8" width="12.07421875" style="67" bestFit="1" customWidth="1"/>
    <col min="9" max="9" width="1.69140625" style="67" customWidth="1"/>
    <col min="10" max="10" width="12.07421875" style="67" bestFit="1" customWidth="1"/>
    <col min="11" max="11" width="1.69140625" style="67" customWidth="1"/>
    <col min="12" max="12" width="11.07421875" style="67" customWidth="1"/>
    <col min="13" max="13" width="1.69140625" style="67" customWidth="1"/>
    <col min="14" max="14" width="12.07421875" style="67" customWidth="1"/>
    <col min="15" max="15" width="1.69140625" style="67" customWidth="1"/>
    <col min="16" max="16" width="11" style="67" bestFit="1" customWidth="1"/>
    <col min="17" max="17" width="1.69140625" style="67" customWidth="1"/>
    <col min="18" max="18" width="11.53515625" style="67" bestFit="1" customWidth="1"/>
    <col min="19" max="19" width="1.69140625" style="67" customWidth="1"/>
    <col min="20" max="20" width="11.4609375" style="67" customWidth="1"/>
    <col min="21" max="21" width="1.69140625" style="67" customWidth="1"/>
    <col min="22" max="22" width="11.07421875" style="67" customWidth="1"/>
    <col min="23" max="23" width="1.69140625" style="67" customWidth="1"/>
    <col min="24" max="24" width="11.07421875" style="67" bestFit="1" customWidth="1"/>
    <col min="25" max="25" width="1.69140625" style="67" customWidth="1"/>
    <col min="26" max="26" width="10.69140625" style="67" bestFit="1" customWidth="1"/>
    <col min="27" max="28" width="1.69140625" style="67" customWidth="1"/>
    <col min="29" max="29" width="12.07421875" style="67" customWidth="1"/>
    <col min="30" max="31" width="1.07421875" style="67" customWidth="1"/>
    <col min="32" max="32" width="11.69140625" style="67" customWidth="1"/>
    <col min="33" max="34" width="1.07421875" style="67" customWidth="1"/>
    <col min="35" max="35" width="13.07421875" style="67" bestFit="1" customWidth="1"/>
    <col min="36" max="36" width="0.69140625" style="67" customWidth="1"/>
    <col min="37" max="37" width="13.69140625" style="338" bestFit="1" customWidth="1"/>
    <col min="38" max="39" width="8.69140625" style="1612"/>
    <col min="40" max="16384" width="8.69140625" style="67"/>
  </cols>
  <sheetData>
    <row r="1" spans="1:39" ht="15.5">
      <c r="B1" s="275" t="s">
        <v>97</v>
      </c>
    </row>
    <row r="2" spans="1:39" ht="15.5">
      <c r="M2" s="3"/>
      <c r="N2" s="3"/>
      <c r="O2" s="75"/>
    </row>
    <row r="3" spans="1:39" ht="18">
      <c r="B3" s="69" t="s">
        <v>98</v>
      </c>
      <c r="M3" s="3"/>
      <c r="N3" s="3"/>
      <c r="O3" s="75"/>
      <c r="AE3" s="23"/>
      <c r="AF3" s="23"/>
      <c r="AG3" s="23"/>
      <c r="AH3" s="23"/>
      <c r="AI3" s="23"/>
      <c r="AJ3" s="23"/>
      <c r="AK3" s="70" t="s">
        <v>480</v>
      </c>
    </row>
    <row r="4" spans="1:39" ht="18">
      <c r="B4" s="69" t="s">
        <v>541</v>
      </c>
      <c r="L4" s="3"/>
      <c r="M4" s="3"/>
      <c r="O4" s="75"/>
    </row>
    <row r="5" spans="1:39" ht="18">
      <c r="B5" s="551" t="s">
        <v>452</v>
      </c>
      <c r="L5" s="75"/>
      <c r="M5" s="75"/>
      <c r="O5" s="75"/>
      <c r="X5" s="82"/>
    </row>
    <row r="6" spans="1:39" ht="20">
      <c r="B6" s="551" t="str">
        <f>'Cashflow Governmental'!A6</f>
        <v>FISCAL YEAR 2024-2025</v>
      </c>
      <c r="L6" s="75"/>
      <c r="M6" s="75"/>
      <c r="O6" s="75"/>
      <c r="AK6" s="339"/>
    </row>
    <row r="7" spans="1:39" ht="18">
      <c r="B7" s="69" t="s">
        <v>530</v>
      </c>
      <c r="AH7" s="35"/>
      <c r="AI7" s="35"/>
      <c r="AJ7" s="35"/>
      <c r="AK7" s="340"/>
    </row>
    <row r="8" spans="1:39" ht="13.5" customHeight="1">
      <c r="B8" s="84"/>
      <c r="D8" s="1614"/>
      <c r="AH8" s="35"/>
      <c r="AI8" s="35"/>
      <c r="AJ8" s="35"/>
      <c r="AK8" s="340"/>
    </row>
    <row r="9" spans="1:39" ht="15.5">
      <c r="D9" s="1148"/>
      <c r="L9" s="75"/>
      <c r="M9" s="75"/>
      <c r="N9" s="75"/>
      <c r="O9" s="75"/>
      <c r="AB9" s="2126" t="str">
        <f>'Exhibit G'!AD9</f>
        <v>11 Months Ended February 28</v>
      </c>
      <c r="AC9" s="2124"/>
      <c r="AD9" s="2124"/>
      <c r="AE9" s="2124"/>
      <c r="AF9" s="2124"/>
      <c r="AG9" s="2124"/>
      <c r="AH9" s="2124"/>
      <c r="AI9" s="2124"/>
      <c r="AJ9" s="2124"/>
      <c r="AK9" s="2124"/>
    </row>
    <row r="10" spans="1:39" ht="15.5">
      <c r="B10" s="374"/>
      <c r="C10" s="374"/>
      <c r="D10" s="324" t="str">
        <f>'Cashflow Governmental'!C13</f>
        <v>2024</v>
      </c>
      <c r="E10" s="3"/>
      <c r="F10" s="3"/>
      <c r="G10" s="3"/>
      <c r="H10" s="3"/>
      <c r="I10" s="3"/>
      <c r="J10" s="3"/>
      <c r="K10" s="3"/>
      <c r="L10" s="3"/>
      <c r="M10" s="3"/>
      <c r="N10" s="3"/>
      <c r="O10" s="3"/>
      <c r="P10" s="3"/>
      <c r="Q10" s="3"/>
      <c r="R10" s="3"/>
      <c r="S10" s="3"/>
      <c r="T10" s="3"/>
      <c r="U10" s="3"/>
      <c r="V10" s="324">
        <f>'Cashflow Governmental'!U13</f>
        <v>2025</v>
      </c>
      <c r="W10" s="3"/>
      <c r="X10" s="3"/>
      <c r="Y10" s="3"/>
      <c r="Z10" s="3"/>
      <c r="AA10" s="3"/>
      <c r="AB10" s="3"/>
      <c r="AC10" s="61"/>
      <c r="AD10" s="61"/>
      <c r="AE10" s="61"/>
      <c r="AF10" s="61"/>
      <c r="AG10" s="61"/>
      <c r="AH10" s="61"/>
      <c r="AI10" s="330" t="s">
        <v>110</v>
      </c>
      <c r="AJ10" s="330"/>
      <c r="AK10" s="341" t="s">
        <v>111</v>
      </c>
      <c r="AL10" s="1613"/>
    </row>
    <row r="11" spans="1:39" ht="15.5">
      <c r="B11" s="374"/>
      <c r="C11" s="374"/>
      <c r="D11" s="55" t="s">
        <v>336</v>
      </c>
      <c r="E11" s="3"/>
      <c r="F11" s="55" t="s">
        <v>337</v>
      </c>
      <c r="G11" s="3"/>
      <c r="H11" s="55" t="s">
        <v>338</v>
      </c>
      <c r="I11" s="3"/>
      <c r="J11" s="55" t="s">
        <v>339</v>
      </c>
      <c r="K11" s="3"/>
      <c r="L11" s="55" t="s">
        <v>340</v>
      </c>
      <c r="M11" s="3"/>
      <c r="N11" s="55" t="s">
        <v>453</v>
      </c>
      <c r="O11" s="3"/>
      <c r="P11" s="55" t="s">
        <v>454</v>
      </c>
      <c r="Q11" s="3"/>
      <c r="R11" s="55" t="s">
        <v>343</v>
      </c>
      <c r="S11" s="3"/>
      <c r="T11" s="55" t="s">
        <v>344</v>
      </c>
      <c r="U11" s="3"/>
      <c r="V11" s="55" t="s">
        <v>345</v>
      </c>
      <c r="W11" s="3"/>
      <c r="X11" s="55" t="s">
        <v>346</v>
      </c>
      <c r="Y11" s="3"/>
      <c r="Z11" s="55" t="s">
        <v>455</v>
      </c>
      <c r="AA11" s="3"/>
      <c r="AB11" s="3"/>
      <c r="AC11" s="324" t="str">
        <f>'Cashflow Governmental'!AB14</f>
        <v>2025</v>
      </c>
      <c r="AD11" s="324"/>
      <c r="AE11" s="3" t="s">
        <v>103</v>
      </c>
      <c r="AF11" s="324" t="str">
        <f>'Cashflow Governmental'!AE14</f>
        <v>2024</v>
      </c>
      <c r="AG11" s="324"/>
      <c r="AH11" s="61"/>
      <c r="AI11" s="426" t="s">
        <v>112</v>
      </c>
      <c r="AJ11" s="330"/>
      <c r="AK11" s="1073" t="s">
        <v>113</v>
      </c>
      <c r="AL11" s="1613"/>
    </row>
    <row r="12" spans="1:39" ht="6.75" customHeight="1">
      <c r="B12" s="374"/>
      <c r="C12" s="374"/>
      <c r="D12" s="1015"/>
      <c r="E12" s="374"/>
      <c r="F12" s="1015"/>
      <c r="G12" s="374"/>
      <c r="H12" s="1015"/>
      <c r="I12" s="374"/>
      <c r="J12" s="1015"/>
      <c r="K12" s="374"/>
      <c r="L12" s="1015"/>
      <c r="M12" s="374"/>
      <c r="N12" s="1015"/>
      <c r="O12" s="374"/>
      <c r="P12" s="1015"/>
      <c r="Q12" s="374"/>
      <c r="R12" s="1015"/>
      <c r="S12" s="374"/>
      <c r="T12" s="1015"/>
      <c r="U12" s="374"/>
      <c r="V12" s="1015"/>
      <c r="W12" s="374"/>
      <c r="X12" s="1015"/>
      <c r="Y12" s="374"/>
      <c r="Z12" s="1015"/>
      <c r="AA12" s="374"/>
      <c r="AB12" s="374"/>
      <c r="AC12" s="1015"/>
      <c r="AD12" s="1015"/>
      <c r="AE12" s="374"/>
      <c r="AF12" s="1015"/>
      <c r="AG12" s="374"/>
      <c r="AH12" s="374"/>
      <c r="AI12" s="374"/>
      <c r="AJ12" s="374"/>
      <c r="AK12" s="293"/>
    </row>
    <row r="13" spans="1:39" ht="15.5">
      <c r="B13" s="3" t="s">
        <v>531</v>
      </c>
      <c r="C13" s="374"/>
      <c r="D13" s="87">
        <v>11153</v>
      </c>
      <c r="E13" s="374"/>
      <c r="F13" s="20">
        <f>D94</f>
        <v>13023.7</v>
      </c>
      <c r="G13" s="20"/>
      <c r="H13" s="20">
        <f>F94</f>
        <v>13115.9</v>
      </c>
      <c r="I13" s="374"/>
      <c r="J13" s="20">
        <f>H94</f>
        <v>12282.7</v>
      </c>
      <c r="K13" s="374"/>
      <c r="L13" s="20">
        <f>J94</f>
        <v>11965.6</v>
      </c>
      <c r="M13" s="374"/>
      <c r="N13" s="20">
        <f>L94</f>
        <v>12947.5</v>
      </c>
      <c r="O13" s="374"/>
      <c r="P13" s="20">
        <f>N94</f>
        <v>13326.1</v>
      </c>
      <c r="Q13" s="374"/>
      <c r="R13" s="20">
        <f>P94</f>
        <v>12901.2</v>
      </c>
      <c r="S13" s="20"/>
      <c r="T13" s="20">
        <f>R94</f>
        <v>13182.3</v>
      </c>
      <c r="U13" s="20"/>
      <c r="V13" s="20">
        <f>T94</f>
        <v>9622.1</v>
      </c>
      <c r="W13" s="20"/>
      <c r="X13" s="20">
        <f>V94</f>
        <v>8491.7000000000007</v>
      </c>
      <c r="Y13" s="20"/>
      <c r="Z13" s="20"/>
      <c r="AA13" s="374"/>
      <c r="AB13" s="1069"/>
      <c r="AC13" s="20">
        <f>D13</f>
        <v>11153</v>
      </c>
      <c r="AD13" s="374"/>
      <c r="AE13" s="1069"/>
      <c r="AF13" s="2073">
        <v>14826.4</v>
      </c>
      <c r="AG13" s="374"/>
      <c r="AH13" s="1059"/>
      <c r="AI13" s="20">
        <f>+AC13-AF13</f>
        <v>-3673.3999999999996</v>
      </c>
      <c r="AJ13" s="374"/>
      <c r="AK13" s="78">
        <f>AI13/AF13</f>
        <v>-0.24776075109264553</v>
      </c>
      <c r="AL13" s="1610"/>
      <c r="AM13" s="1610"/>
    </row>
    <row r="14" spans="1:39" ht="15.5">
      <c r="B14" s="3"/>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1267"/>
      <c r="AB14" s="374"/>
      <c r="AC14" s="374"/>
      <c r="AD14" s="374"/>
      <c r="AE14" s="1069"/>
      <c r="AF14" s="374"/>
      <c r="AG14" s="1061"/>
      <c r="AH14" s="374"/>
      <c r="AI14" s="374"/>
      <c r="AJ14" s="374"/>
      <c r="AK14" s="293"/>
      <c r="AL14" s="1610"/>
      <c r="AM14" s="1610"/>
    </row>
    <row r="15" spans="1:39" ht="15" customHeight="1">
      <c r="A15" s="35"/>
      <c r="B15" s="3" t="s">
        <v>114</v>
      </c>
      <c r="C15" s="301"/>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1060"/>
      <c r="AC15" s="374"/>
      <c r="AD15" s="374"/>
      <c r="AE15" s="1074"/>
      <c r="AF15" s="374"/>
      <c r="AG15" s="1259"/>
      <c r="AH15" s="374"/>
      <c r="AI15" s="541"/>
      <c r="AJ15" s="541"/>
      <c r="AK15" s="546"/>
      <c r="AL15" s="1610"/>
      <c r="AM15" s="1610"/>
    </row>
    <row r="16" spans="1:39" ht="7.5" customHeight="1">
      <c r="A16" s="35"/>
      <c r="B16" s="301"/>
      <c r="C16" s="301"/>
      <c r="D16" s="285"/>
      <c r="E16" s="278"/>
      <c r="F16" s="285"/>
      <c r="G16" s="285"/>
      <c r="H16" s="285"/>
      <c r="I16" s="278"/>
      <c r="J16" s="285"/>
      <c r="K16" s="278"/>
      <c r="L16" s="285"/>
      <c r="M16" s="278"/>
      <c r="N16" s="285"/>
      <c r="O16" s="278"/>
      <c r="P16" s="285"/>
      <c r="Q16" s="278"/>
      <c r="R16" s="285"/>
      <c r="S16" s="278"/>
      <c r="T16" s="285"/>
      <c r="U16" s="278"/>
      <c r="V16" s="285"/>
      <c r="W16" s="274"/>
      <c r="X16" s="285"/>
      <c r="Y16" s="274"/>
      <c r="Z16" s="285"/>
      <c r="AA16" s="278"/>
      <c r="AB16" s="681"/>
      <c r="AC16" s="274"/>
      <c r="AD16" s="1872"/>
      <c r="AE16" s="1075"/>
      <c r="AF16" s="285"/>
      <c r="AG16" s="1259"/>
      <c r="AH16" s="374"/>
      <c r="AI16" s="274"/>
      <c r="AJ16" s="274"/>
      <c r="AK16" s="384"/>
      <c r="AL16" s="1610"/>
      <c r="AM16" s="1610"/>
    </row>
    <row r="17" spans="1:39" ht="15" customHeight="1">
      <c r="A17" s="35"/>
      <c r="B17" s="1248" t="s">
        <v>390</v>
      </c>
      <c r="C17" s="301"/>
      <c r="D17" s="297"/>
      <c r="E17" s="278"/>
      <c r="F17" s="285"/>
      <c r="G17" s="285"/>
      <c r="H17" s="285"/>
      <c r="I17" s="278"/>
      <c r="J17" s="285"/>
      <c r="K17" s="278"/>
      <c r="L17" s="278"/>
      <c r="M17" s="278"/>
      <c r="N17" s="278"/>
      <c r="O17" s="278"/>
      <c r="P17" s="278"/>
      <c r="Q17" s="278"/>
      <c r="R17" s="394"/>
      <c r="S17" s="278"/>
      <c r="T17" s="394"/>
      <c r="U17" s="278"/>
      <c r="V17" s="394"/>
      <c r="W17" s="274"/>
      <c r="X17" s="394"/>
      <c r="Y17" s="274"/>
      <c r="Z17" s="394"/>
      <c r="AA17" s="278"/>
      <c r="AB17" s="681"/>
      <c r="AC17" s="274"/>
      <c r="AD17" s="274"/>
      <c r="AE17" s="535"/>
      <c r="AF17" s="274"/>
      <c r="AG17" s="530"/>
      <c r="AH17" s="274"/>
      <c r="AI17" s="274"/>
      <c r="AJ17" s="274"/>
      <c r="AK17" s="293"/>
      <c r="AL17" s="1610"/>
      <c r="AM17" s="1610"/>
    </row>
    <row r="18" spans="1:39" ht="15" customHeight="1">
      <c r="A18" s="35"/>
      <c r="B18" s="360" t="s">
        <v>391</v>
      </c>
      <c r="C18" s="301"/>
      <c r="D18" s="297" t="s">
        <v>103</v>
      </c>
      <c r="E18" s="278"/>
      <c r="F18" s="285"/>
      <c r="G18" s="285"/>
      <c r="H18" s="285"/>
      <c r="I18" s="278"/>
      <c r="J18" s="285"/>
      <c r="K18" s="278"/>
      <c r="L18" s="278"/>
      <c r="M18" s="278"/>
      <c r="N18" s="278"/>
      <c r="O18" s="278"/>
      <c r="P18" s="278"/>
      <c r="Q18" s="278"/>
      <c r="R18" s="394"/>
      <c r="S18" s="278"/>
      <c r="T18" s="394"/>
      <c r="U18" s="278"/>
      <c r="V18" s="394"/>
      <c r="W18" s="274"/>
      <c r="X18" s="394"/>
      <c r="Y18" s="274"/>
      <c r="Z18" s="394"/>
      <c r="AA18" s="278"/>
      <c r="AB18" s="681"/>
      <c r="AC18" s="274"/>
      <c r="AD18" s="274"/>
      <c r="AE18" s="535"/>
      <c r="AF18" s="274"/>
      <c r="AG18" s="530"/>
      <c r="AH18" s="274"/>
      <c r="AI18" s="274"/>
      <c r="AJ18" s="274"/>
      <c r="AK18" s="293"/>
      <c r="AL18" s="1610"/>
      <c r="AM18" s="1610"/>
    </row>
    <row r="19" spans="1:39" ht="15" customHeight="1">
      <c r="A19" s="35"/>
      <c r="B19" s="360" t="s">
        <v>1429</v>
      </c>
      <c r="C19" s="301"/>
      <c r="D19" s="297">
        <v>0</v>
      </c>
      <c r="E19" s="297"/>
      <c r="F19" s="297">
        <v>0</v>
      </c>
      <c r="G19" s="297"/>
      <c r="H19" s="297">
        <v>0</v>
      </c>
      <c r="I19" s="274"/>
      <c r="J19" s="297">
        <v>0</v>
      </c>
      <c r="K19" s="565"/>
      <c r="L19" s="297">
        <v>0</v>
      </c>
      <c r="M19" s="565"/>
      <c r="N19" s="297">
        <v>0</v>
      </c>
      <c r="O19" s="620"/>
      <c r="P19" s="297">
        <v>0</v>
      </c>
      <c r="Q19" s="620"/>
      <c r="R19" s="297">
        <v>0</v>
      </c>
      <c r="S19" s="297"/>
      <c r="T19" s="297">
        <v>0</v>
      </c>
      <c r="U19" s="297"/>
      <c r="V19" s="297">
        <v>0</v>
      </c>
      <c r="W19" s="620"/>
      <c r="X19" s="297">
        <f>$AC19-SUM($D19:V19)</f>
        <v>0</v>
      </c>
      <c r="Y19" s="297"/>
      <c r="Z19" s="297"/>
      <c r="AA19" s="278"/>
      <c r="AB19" s="681"/>
      <c r="AC19" s="542">
        <v>0</v>
      </c>
      <c r="AD19" s="297"/>
      <c r="AE19" s="1857"/>
      <c r="AF19" s="542">
        <v>0</v>
      </c>
      <c r="AG19" s="530"/>
      <c r="AH19" s="274"/>
      <c r="AI19" s="274">
        <f>ROUND(SUM(+AC19-AF19),1)</f>
        <v>0</v>
      </c>
      <c r="AJ19" s="274"/>
      <c r="AK19" s="276">
        <f>ROUND(IF(AF19=0,0,AI19/ABS(AF19)),3)</f>
        <v>0</v>
      </c>
      <c r="AL19" s="1610"/>
      <c r="AM19" s="1610"/>
    </row>
    <row r="20" spans="1:39" ht="15" customHeight="1">
      <c r="A20" s="35"/>
      <c r="B20" s="360" t="s">
        <v>394</v>
      </c>
      <c r="C20" s="301"/>
      <c r="D20" s="297" t="s">
        <v>103</v>
      </c>
      <c r="E20" s="278"/>
      <c r="F20" s="297"/>
      <c r="G20" s="297"/>
      <c r="H20" s="297"/>
      <c r="I20" s="278"/>
      <c r="J20" s="297"/>
      <c r="K20" s="278"/>
      <c r="L20" s="297"/>
      <c r="M20" s="278"/>
      <c r="N20" s="297"/>
      <c r="O20" s="278"/>
      <c r="P20" s="297"/>
      <c r="Q20" s="278"/>
      <c r="R20" s="297"/>
      <c r="S20" s="278"/>
      <c r="T20" s="297"/>
      <c r="U20" s="278"/>
      <c r="V20" s="297"/>
      <c r="W20" s="274"/>
      <c r="X20" s="297"/>
      <c r="Y20" s="274"/>
      <c r="Z20" s="297"/>
      <c r="AA20" s="278"/>
      <c r="AB20" s="681"/>
      <c r="AC20" s="274" t="s">
        <v>103</v>
      </c>
      <c r="AD20" s="274"/>
      <c r="AE20" s="535"/>
      <c r="AF20" s="274" t="s">
        <v>103</v>
      </c>
      <c r="AG20" s="530"/>
      <c r="AH20" s="274"/>
      <c r="AI20" s="274"/>
      <c r="AJ20" s="274"/>
      <c r="AK20" s="293"/>
      <c r="AL20" s="1610"/>
      <c r="AM20" s="1610"/>
    </row>
    <row r="21" spans="1:39" ht="15" customHeight="1">
      <c r="A21" s="35"/>
      <c r="B21" s="360" t="s">
        <v>1430</v>
      </c>
      <c r="C21" s="301"/>
      <c r="D21" s="297">
        <v>6.8</v>
      </c>
      <c r="E21" s="278"/>
      <c r="F21" s="297">
        <v>43</v>
      </c>
      <c r="G21" s="297"/>
      <c r="H21" s="297">
        <v>0</v>
      </c>
      <c r="I21" s="278"/>
      <c r="J21" s="297">
        <v>3.9000000000000057</v>
      </c>
      <c r="K21" s="565"/>
      <c r="L21" s="297">
        <v>11.599999999999994</v>
      </c>
      <c r="M21" s="565"/>
      <c r="N21" s="297">
        <v>0.70000000000000284</v>
      </c>
      <c r="O21" s="565"/>
      <c r="P21" s="297">
        <v>2.2999999999999972</v>
      </c>
      <c r="Q21" s="565"/>
      <c r="R21" s="297">
        <v>6.6000000000000085</v>
      </c>
      <c r="S21" s="565"/>
      <c r="T21" s="297">
        <v>0.19999999999998863</v>
      </c>
      <c r="U21" s="565"/>
      <c r="V21" s="297">
        <v>1.7000000000000028</v>
      </c>
      <c r="W21" s="565"/>
      <c r="X21" s="297">
        <f>$AC21-SUM($D21:V21)</f>
        <v>6.2000000000000028</v>
      </c>
      <c r="Y21" s="565"/>
      <c r="Z21" s="297"/>
      <c r="AA21" s="274"/>
      <c r="AB21" s="534"/>
      <c r="AC21" s="542">
        <v>83</v>
      </c>
      <c r="AD21" s="297"/>
      <c r="AE21" s="1857"/>
      <c r="AF21" s="542">
        <v>92.3</v>
      </c>
      <c r="AG21" s="530"/>
      <c r="AH21" s="274"/>
      <c r="AI21" s="274">
        <f>ROUND(SUM(+AC21-AF21),1)</f>
        <v>-9.3000000000000007</v>
      </c>
      <c r="AJ21" s="274"/>
      <c r="AK21" s="276">
        <f>ROUND(IF(AF21=0,0,AI21/ABS(AF21)),3)</f>
        <v>-0.10100000000000001</v>
      </c>
      <c r="AL21" s="1610"/>
      <c r="AM21" s="1610"/>
    </row>
    <row r="22" spans="1:39" ht="15" customHeight="1">
      <c r="A22" s="35"/>
      <c r="B22" s="360" t="s">
        <v>1431</v>
      </c>
      <c r="C22" s="301"/>
      <c r="D22" s="297">
        <v>0</v>
      </c>
      <c r="E22" s="278"/>
      <c r="F22" s="297">
        <v>0</v>
      </c>
      <c r="G22" s="297"/>
      <c r="H22" s="297">
        <v>0</v>
      </c>
      <c r="I22" s="278"/>
      <c r="J22" s="297">
        <v>0</v>
      </c>
      <c r="K22" s="565"/>
      <c r="L22" s="297">
        <v>0</v>
      </c>
      <c r="M22" s="565"/>
      <c r="N22" s="297">
        <v>0</v>
      </c>
      <c r="O22" s="565"/>
      <c r="P22" s="297">
        <v>0</v>
      </c>
      <c r="Q22" s="565"/>
      <c r="R22" s="297">
        <v>0</v>
      </c>
      <c r="S22" s="565"/>
      <c r="T22" s="297">
        <v>0</v>
      </c>
      <c r="U22" s="565"/>
      <c r="V22" s="297">
        <v>0</v>
      </c>
      <c r="W22" s="565"/>
      <c r="X22" s="297">
        <f>$AC22-SUM($D22:V22)</f>
        <v>0</v>
      </c>
      <c r="Y22" s="565"/>
      <c r="Z22" s="297"/>
      <c r="AA22" s="274"/>
      <c r="AB22" s="534"/>
      <c r="AC22" s="542">
        <v>0</v>
      </c>
      <c r="AD22" s="297"/>
      <c r="AE22" s="1857"/>
      <c r="AF22" s="542">
        <v>0</v>
      </c>
      <c r="AG22" s="530"/>
      <c r="AH22" s="274"/>
      <c r="AI22" s="274">
        <f t="shared" ref="AI22:AI51" si="0">ROUND(SUM(+AC22-AF22),1)</f>
        <v>0</v>
      </c>
      <c r="AJ22" s="274"/>
      <c r="AK22" s="276">
        <f>ROUND(IF(AF22=0,0,AI22/ABS(AF22)),3)</f>
        <v>0</v>
      </c>
      <c r="AL22" s="1610"/>
      <c r="AM22" s="1610"/>
    </row>
    <row r="23" spans="1:39" ht="15" customHeight="1">
      <c r="A23" s="35"/>
      <c r="B23" s="360" t="s">
        <v>1432</v>
      </c>
      <c r="C23" s="301"/>
      <c r="D23" s="297">
        <v>0</v>
      </c>
      <c r="E23" s="278"/>
      <c r="F23" s="297">
        <v>0</v>
      </c>
      <c r="G23" s="297"/>
      <c r="H23" s="297">
        <v>0</v>
      </c>
      <c r="I23" s="278"/>
      <c r="J23" s="297">
        <v>0</v>
      </c>
      <c r="K23" s="565"/>
      <c r="L23" s="297">
        <v>0</v>
      </c>
      <c r="M23" s="565"/>
      <c r="N23" s="297">
        <v>0</v>
      </c>
      <c r="O23" s="565"/>
      <c r="P23" s="297">
        <v>0</v>
      </c>
      <c r="Q23" s="565"/>
      <c r="R23" s="297">
        <v>0</v>
      </c>
      <c r="S23" s="565"/>
      <c r="T23" s="297">
        <v>0</v>
      </c>
      <c r="U23" s="565"/>
      <c r="V23" s="297">
        <v>0</v>
      </c>
      <c r="W23" s="565"/>
      <c r="X23" s="297">
        <f>$AC23-SUM($D23:V23)</f>
        <v>0</v>
      </c>
      <c r="Y23" s="565"/>
      <c r="Z23" s="297"/>
      <c r="AA23" s="274"/>
      <c r="AB23" s="534"/>
      <c r="AC23" s="542">
        <v>0</v>
      </c>
      <c r="AD23" s="297"/>
      <c r="AE23" s="1857"/>
      <c r="AF23" s="542">
        <v>0</v>
      </c>
      <c r="AG23" s="530"/>
      <c r="AH23" s="274"/>
      <c r="AI23" s="274">
        <f t="shared" si="0"/>
        <v>0</v>
      </c>
      <c r="AJ23" s="274"/>
      <c r="AK23" s="276">
        <f>ROUND(IF(AF23=0,0,AI23/ABS(AF23)),3)</f>
        <v>0</v>
      </c>
      <c r="AL23" s="1610"/>
      <c r="AM23" s="1610"/>
    </row>
    <row r="24" spans="1:39" ht="15" customHeight="1">
      <c r="A24" s="35"/>
      <c r="B24" s="360" t="s">
        <v>492</v>
      </c>
      <c r="C24" s="301"/>
      <c r="D24" s="297">
        <v>0</v>
      </c>
      <c r="E24" s="278"/>
      <c r="F24" s="297">
        <v>0</v>
      </c>
      <c r="G24" s="297"/>
      <c r="H24" s="297">
        <v>0</v>
      </c>
      <c r="I24" s="278"/>
      <c r="J24" s="297">
        <v>0</v>
      </c>
      <c r="K24" s="565"/>
      <c r="L24" s="297">
        <v>0</v>
      </c>
      <c r="M24" s="565"/>
      <c r="N24" s="297">
        <v>0</v>
      </c>
      <c r="O24" s="565"/>
      <c r="P24" s="297">
        <v>0</v>
      </c>
      <c r="Q24" s="565"/>
      <c r="R24" s="297">
        <v>0</v>
      </c>
      <c r="S24" s="565"/>
      <c r="T24" s="297">
        <v>0</v>
      </c>
      <c r="U24" s="565"/>
      <c r="V24" s="297">
        <v>0</v>
      </c>
      <c r="W24" s="565"/>
      <c r="X24" s="297">
        <f>$AC24-SUM($D24:V24)</f>
        <v>0</v>
      </c>
      <c r="Y24" s="565"/>
      <c r="Z24" s="297"/>
      <c r="AA24" s="274"/>
      <c r="AB24" s="534"/>
      <c r="AC24" s="542">
        <v>0</v>
      </c>
      <c r="AD24" s="297"/>
      <c r="AE24" s="1857"/>
      <c r="AF24" s="542">
        <v>0</v>
      </c>
      <c r="AG24" s="530"/>
      <c r="AH24" s="274"/>
      <c r="AI24" s="274">
        <f t="shared" si="0"/>
        <v>0</v>
      </c>
      <c r="AJ24" s="274"/>
      <c r="AK24" s="276">
        <f>ROUND(IF(AF24=0,0,AI24/ABS(AF24)),3)</f>
        <v>0</v>
      </c>
      <c r="AL24" s="1610"/>
      <c r="AM24" s="1610"/>
    </row>
    <row r="25" spans="1:39" ht="15" customHeight="1">
      <c r="A25" s="35"/>
      <c r="B25" s="360" t="s">
        <v>399</v>
      </c>
      <c r="C25" s="301"/>
      <c r="D25" s="297" t="s">
        <v>103</v>
      </c>
      <c r="E25" s="278"/>
      <c r="F25" s="297"/>
      <c r="G25" s="297"/>
      <c r="H25" s="297"/>
      <c r="I25" s="278"/>
      <c r="J25" s="297"/>
      <c r="K25" s="278"/>
      <c r="L25" s="297"/>
      <c r="M25" s="278"/>
      <c r="N25" s="297"/>
      <c r="O25" s="278"/>
      <c r="P25" s="297"/>
      <c r="Q25" s="278"/>
      <c r="R25" s="297"/>
      <c r="S25" s="278"/>
      <c r="T25" s="297"/>
      <c r="U25" s="278"/>
      <c r="V25" s="297"/>
      <c r="W25" s="274"/>
      <c r="X25" s="297"/>
      <c r="Y25" s="274"/>
      <c r="Z25" s="297"/>
      <c r="AA25" s="278"/>
      <c r="AB25" s="681"/>
      <c r="AC25" s="274" t="s">
        <v>103</v>
      </c>
      <c r="AD25" s="274"/>
      <c r="AE25" s="535"/>
      <c r="AF25" s="274" t="s">
        <v>103</v>
      </c>
      <c r="AG25" s="530"/>
      <c r="AH25" s="274"/>
      <c r="AI25" s="274"/>
      <c r="AJ25" s="274"/>
      <c r="AK25" s="276"/>
      <c r="AL25" s="1610"/>
      <c r="AM25" s="1610"/>
    </row>
    <row r="26" spans="1:39" ht="15" customHeight="1">
      <c r="A26" s="35"/>
      <c r="B26" s="360" t="s">
        <v>1434</v>
      </c>
      <c r="C26" s="301"/>
      <c r="D26" s="297">
        <v>0</v>
      </c>
      <c r="E26" s="278"/>
      <c r="F26" s="297">
        <v>0</v>
      </c>
      <c r="G26" s="297"/>
      <c r="H26" s="297">
        <v>0</v>
      </c>
      <c r="I26" s="278"/>
      <c r="J26" s="297">
        <v>0</v>
      </c>
      <c r="K26" s="565"/>
      <c r="L26" s="297">
        <v>0</v>
      </c>
      <c r="M26" s="565"/>
      <c r="N26" s="297">
        <v>0</v>
      </c>
      <c r="O26" s="565"/>
      <c r="P26" s="297">
        <v>0</v>
      </c>
      <c r="Q26" s="565"/>
      <c r="R26" s="297">
        <v>0</v>
      </c>
      <c r="S26" s="565"/>
      <c r="T26" s="297">
        <v>0</v>
      </c>
      <c r="U26" s="565"/>
      <c r="V26" s="297">
        <v>0</v>
      </c>
      <c r="W26" s="565"/>
      <c r="X26" s="297">
        <f>$AC26-SUM($D26:V26)</f>
        <v>0</v>
      </c>
      <c r="Y26" s="565"/>
      <c r="Z26" s="297"/>
      <c r="AA26" s="274"/>
      <c r="AB26" s="534"/>
      <c r="AC26" s="542">
        <v>0</v>
      </c>
      <c r="AD26" s="297"/>
      <c r="AE26" s="1857"/>
      <c r="AF26" s="542">
        <v>0</v>
      </c>
      <c r="AG26" s="530"/>
      <c r="AH26" s="274"/>
      <c r="AI26" s="274">
        <f t="shared" si="0"/>
        <v>0</v>
      </c>
      <c r="AJ26" s="274"/>
      <c r="AK26" s="276">
        <f t="shared" ref="AK26:AK32" si="1">ROUND(IF(AF26=0,0,AI26/ABS(AF26)),3)</f>
        <v>0</v>
      </c>
      <c r="AL26" s="1610"/>
      <c r="AM26" s="1610"/>
    </row>
    <row r="27" spans="1:39" ht="15" customHeight="1">
      <c r="A27" s="35"/>
      <c r="B27" s="360" t="s">
        <v>495</v>
      </c>
      <c r="C27" s="301"/>
      <c r="D27" s="297">
        <v>0</v>
      </c>
      <c r="E27" s="278"/>
      <c r="F27" s="297">
        <v>0</v>
      </c>
      <c r="G27" s="297"/>
      <c r="H27" s="297">
        <v>0</v>
      </c>
      <c r="I27" s="278"/>
      <c r="J27" s="297">
        <v>0</v>
      </c>
      <c r="K27" s="565"/>
      <c r="L27" s="297">
        <v>0</v>
      </c>
      <c r="M27" s="565"/>
      <c r="N27" s="297">
        <v>0</v>
      </c>
      <c r="O27" s="565"/>
      <c r="P27" s="297">
        <v>0</v>
      </c>
      <c r="Q27" s="565"/>
      <c r="R27" s="297">
        <v>0</v>
      </c>
      <c r="S27" s="565"/>
      <c r="T27" s="297">
        <v>0</v>
      </c>
      <c r="U27" s="565"/>
      <c r="V27" s="297">
        <v>0</v>
      </c>
      <c r="W27" s="565"/>
      <c r="X27" s="297">
        <f>$AC27-SUM($D27:V27)</f>
        <v>0</v>
      </c>
      <c r="Y27" s="565"/>
      <c r="Z27" s="297"/>
      <c r="AA27" s="274"/>
      <c r="AB27" s="534"/>
      <c r="AC27" s="542">
        <v>0</v>
      </c>
      <c r="AD27" s="297"/>
      <c r="AE27" s="1857"/>
      <c r="AF27" s="542">
        <v>0</v>
      </c>
      <c r="AG27" s="530"/>
      <c r="AH27" s="274"/>
      <c r="AI27" s="274">
        <f t="shared" si="0"/>
        <v>0</v>
      </c>
      <c r="AJ27" s="274"/>
      <c r="AK27" s="276">
        <f t="shared" si="1"/>
        <v>0</v>
      </c>
      <c r="AL27" s="1610"/>
      <c r="AM27" s="1610"/>
    </row>
    <row r="28" spans="1:39" ht="15" customHeight="1">
      <c r="A28" s="35"/>
      <c r="B28" s="360" t="s">
        <v>496</v>
      </c>
      <c r="C28" s="301"/>
      <c r="D28" s="297">
        <v>0</v>
      </c>
      <c r="E28" s="278"/>
      <c r="F28" s="297">
        <v>0</v>
      </c>
      <c r="G28" s="297"/>
      <c r="H28" s="297">
        <v>0</v>
      </c>
      <c r="I28" s="278"/>
      <c r="J28" s="297">
        <v>0</v>
      </c>
      <c r="K28" s="565"/>
      <c r="L28" s="297">
        <v>0</v>
      </c>
      <c r="M28" s="565"/>
      <c r="N28" s="297">
        <v>0</v>
      </c>
      <c r="O28" s="565"/>
      <c r="P28" s="297">
        <v>0</v>
      </c>
      <c r="Q28" s="565"/>
      <c r="R28" s="297">
        <v>0</v>
      </c>
      <c r="S28" s="565"/>
      <c r="T28" s="297">
        <v>0</v>
      </c>
      <c r="U28" s="565"/>
      <c r="V28" s="297">
        <v>0</v>
      </c>
      <c r="W28" s="565"/>
      <c r="X28" s="297">
        <f>$AC28-SUM($D28:V28)</f>
        <v>0</v>
      </c>
      <c r="Y28" s="565"/>
      <c r="Z28" s="297"/>
      <c r="AA28" s="274"/>
      <c r="AB28" s="534"/>
      <c r="AC28" s="542">
        <v>0</v>
      </c>
      <c r="AD28" s="297"/>
      <c r="AE28" s="1857"/>
      <c r="AF28" s="542">
        <v>0</v>
      </c>
      <c r="AG28" s="530"/>
      <c r="AH28" s="274"/>
      <c r="AI28" s="274">
        <f t="shared" si="0"/>
        <v>0</v>
      </c>
      <c r="AJ28" s="274"/>
      <c r="AK28" s="276">
        <f t="shared" si="1"/>
        <v>0</v>
      </c>
      <c r="AL28" s="1610"/>
      <c r="AM28" s="1610"/>
    </row>
    <row r="29" spans="1:39" ht="15" customHeight="1">
      <c r="A29" s="35"/>
      <c r="B29" s="360" t="s">
        <v>1435</v>
      </c>
      <c r="C29" s="301"/>
      <c r="D29" s="297">
        <v>0</v>
      </c>
      <c r="E29" s="278"/>
      <c r="F29" s="297">
        <v>0</v>
      </c>
      <c r="G29" s="297"/>
      <c r="H29" s="297">
        <v>0</v>
      </c>
      <c r="I29" s="278"/>
      <c r="J29" s="297">
        <v>0</v>
      </c>
      <c r="K29" s="565"/>
      <c r="L29" s="297">
        <v>0</v>
      </c>
      <c r="M29" s="565"/>
      <c r="N29" s="297">
        <v>0</v>
      </c>
      <c r="O29" s="565"/>
      <c r="P29" s="297">
        <v>0</v>
      </c>
      <c r="Q29" s="565"/>
      <c r="R29" s="297">
        <v>0</v>
      </c>
      <c r="S29" s="565"/>
      <c r="T29" s="297">
        <v>0</v>
      </c>
      <c r="U29" s="565"/>
      <c r="V29" s="297">
        <v>0</v>
      </c>
      <c r="W29" s="565"/>
      <c r="X29" s="297">
        <f>$AC29-SUM($D29:V29)</f>
        <v>0</v>
      </c>
      <c r="Y29" s="565"/>
      <c r="Z29" s="297"/>
      <c r="AA29" s="274"/>
      <c r="AB29" s="534"/>
      <c r="AC29" s="542">
        <v>0</v>
      </c>
      <c r="AD29" s="297"/>
      <c r="AE29" s="1857"/>
      <c r="AF29" s="542">
        <v>0</v>
      </c>
      <c r="AG29" s="530"/>
      <c r="AH29" s="274"/>
      <c r="AI29" s="274">
        <f t="shared" si="0"/>
        <v>0</v>
      </c>
      <c r="AJ29" s="274"/>
      <c r="AK29" s="276">
        <f t="shared" si="1"/>
        <v>0</v>
      </c>
      <c r="AL29" s="1610"/>
      <c r="AM29" s="1610"/>
    </row>
    <row r="30" spans="1:39" ht="15" customHeight="1">
      <c r="A30" s="35"/>
      <c r="B30" s="360" t="s">
        <v>1436</v>
      </c>
      <c r="C30" s="301"/>
      <c r="D30" s="297">
        <v>0</v>
      </c>
      <c r="E30" s="278"/>
      <c r="F30" s="297">
        <v>0</v>
      </c>
      <c r="G30" s="297"/>
      <c r="H30" s="297">
        <v>0</v>
      </c>
      <c r="I30" s="278"/>
      <c r="J30" s="297">
        <v>0</v>
      </c>
      <c r="K30" s="565"/>
      <c r="L30" s="297">
        <v>0</v>
      </c>
      <c r="M30" s="565"/>
      <c r="N30" s="297">
        <v>0</v>
      </c>
      <c r="O30" s="565"/>
      <c r="P30" s="297">
        <v>0</v>
      </c>
      <c r="Q30" s="565"/>
      <c r="R30" s="297">
        <v>0</v>
      </c>
      <c r="S30" s="565"/>
      <c r="T30" s="297">
        <v>0</v>
      </c>
      <c r="U30" s="565"/>
      <c r="V30" s="297">
        <v>0</v>
      </c>
      <c r="W30" s="565"/>
      <c r="X30" s="297">
        <f>$AC30-SUM($D30:V30)</f>
        <v>0</v>
      </c>
      <c r="Y30" s="565"/>
      <c r="Z30" s="297"/>
      <c r="AA30" s="274"/>
      <c r="AB30" s="534"/>
      <c r="AC30" s="542">
        <v>0</v>
      </c>
      <c r="AD30" s="297"/>
      <c r="AE30" s="1857"/>
      <c r="AF30" s="542">
        <v>0</v>
      </c>
      <c r="AG30" s="530"/>
      <c r="AH30" s="274"/>
      <c r="AI30" s="274">
        <f t="shared" si="0"/>
        <v>0</v>
      </c>
      <c r="AJ30" s="274"/>
      <c r="AK30" s="276">
        <f t="shared" si="1"/>
        <v>0</v>
      </c>
      <c r="AL30" s="1610"/>
      <c r="AM30" s="1610"/>
    </row>
    <row r="31" spans="1:39" ht="15" customHeight="1">
      <c r="A31" s="35"/>
      <c r="B31" s="360" t="s">
        <v>1437</v>
      </c>
      <c r="C31" s="301"/>
      <c r="D31" s="297">
        <v>1.1000000000000001</v>
      </c>
      <c r="E31" s="278"/>
      <c r="F31" s="297">
        <v>0.79999999999999982</v>
      </c>
      <c r="G31" s="297"/>
      <c r="H31" s="297">
        <v>0.60000000000000009</v>
      </c>
      <c r="I31" s="278"/>
      <c r="J31" s="297">
        <v>0.89999999999999991</v>
      </c>
      <c r="K31" s="565"/>
      <c r="L31" s="297">
        <v>0.89999999999999991</v>
      </c>
      <c r="M31" s="565"/>
      <c r="N31" s="297">
        <v>0.89999999999999991</v>
      </c>
      <c r="O31" s="565"/>
      <c r="P31" s="297">
        <v>1.2000000000000011</v>
      </c>
      <c r="Q31" s="565"/>
      <c r="R31" s="297">
        <v>0.89999999999999947</v>
      </c>
      <c r="S31" s="565"/>
      <c r="T31" s="297">
        <v>0.70000000000000018</v>
      </c>
      <c r="U31" s="565"/>
      <c r="V31" s="297">
        <v>1.4000000000000004</v>
      </c>
      <c r="W31" s="565"/>
      <c r="X31" s="297">
        <f>$AC31-SUM($D31:V31)</f>
        <v>0.90000000000000036</v>
      </c>
      <c r="Y31" s="565"/>
      <c r="Z31" s="297"/>
      <c r="AA31" s="274"/>
      <c r="AB31" s="534"/>
      <c r="AC31" s="542">
        <v>10.3</v>
      </c>
      <c r="AD31" s="297"/>
      <c r="AE31" s="1857"/>
      <c r="AF31" s="542">
        <v>5.8</v>
      </c>
      <c r="AG31" s="530"/>
      <c r="AH31" s="274"/>
      <c r="AI31" s="274">
        <f>ROUND(SUM(+AC31-AF31),1)</f>
        <v>4.5</v>
      </c>
      <c r="AJ31" s="274"/>
      <c r="AK31" s="276">
        <f t="shared" si="1"/>
        <v>0.77600000000000002</v>
      </c>
      <c r="AL31" s="1610"/>
      <c r="AM31" s="1610"/>
    </row>
    <row r="32" spans="1:39" ht="15" customHeight="1">
      <c r="A32" s="35"/>
      <c r="B32" s="360" t="s">
        <v>1461</v>
      </c>
      <c r="C32" s="301"/>
      <c r="D32" s="297">
        <v>69.3</v>
      </c>
      <c r="E32" s="278"/>
      <c r="F32" s="297">
        <v>60.2</v>
      </c>
      <c r="G32" s="297"/>
      <c r="H32" s="297">
        <v>62.300000000000011</v>
      </c>
      <c r="I32" s="278"/>
      <c r="J32" s="297">
        <v>60.999999999999986</v>
      </c>
      <c r="K32" s="565"/>
      <c r="L32" s="297">
        <v>63.500000000000014</v>
      </c>
      <c r="M32" s="565"/>
      <c r="N32" s="297">
        <v>62</v>
      </c>
      <c r="O32" s="565"/>
      <c r="P32" s="297">
        <v>58.599999999999966</v>
      </c>
      <c r="Q32" s="565"/>
      <c r="R32" s="297">
        <v>58.900000000000034</v>
      </c>
      <c r="S32" s="565"/>
      <c r="T32" s="297">
        <v>55.199999999999989</v>
      </c>
      <c r="U32" s="565"/>
      <c r="V32" s="297">
        <v>53.200000000000045</v>
      </c>
      <c r="W32" s="565"/>
      <c r="X32" s="297">
        <f>$AC32-SUM($D32:V32)</f>
        <v>38.799999999999955</v>
      </c>
      <c r="Y32" s="565"/>
      <c r="Z32" s="297"/>
      <c r="AA32" s="274"/>
      <c r="AB32" s="534"/>
      <c r="AC32" s="542">
        <v>643</v>
      </c>
      <c r="AD32" s="297"/>
      <c r="AE32" s="1857"/>
      <c r="AF32" s="542">
        <v>841</v>
      </c>
      <c r="AG32" s="530"/>
      <c r="AH32" s="274"/>
      <c r="AI32" s="274">
        <f t="shared" si="0"/>
        <v>-198</v>
      </c>
      <c r="AJ32" s="274"/>
      <c r="AK32" s="276">
        <f t="shared" si="1"/>
        <v>-0.23499999999999999</v>
      </c>
      <c r="AL32" s="1610"/>
      <c r="AM32" s="1610"/>
    </row>
    <row r="33" spans="1:39" ht="15" customHeight="1">
      <c r="A33" s="35"/>
      <c r="B33" s="360" t="s">
        <v>1438</v>
      </c>
      <c r="C33" s="301"/>
      <c r="D33" s="297">
        <v>0</v>
      </c>
      <c r="E33" s="278"/>
      <c r="F33" s="297">
        <v>0</v>
      </c>
      <c r="G33" s="297"/>
      <c r="H33" s="297">
        <v>0</v>
      </c>
      <c r="I33" s="278"/>
      <c r="J33" s="297">
        <v>0</v>
      </c>
      <c r="K33" s="565"/>
      <c r="L33" s="297">
        <v>0</v>
      </c>
      <c r="M33" s="565"/>
      <c r="N33" s="297">
        <v>0</v>
      </c>
      <c r="O33" s="565"/>
      <c r="P33" s="297">
        <v>0</v>
      </c>
      <c r="Q33" s="565"/>
      <c r="R33" s="297">
        <v>0</v>
      </c>
      <c r="S33" s="565"/>
      <c r="T33" s="297">
        <v>0</v>
      </c>
      <c r="U33" s="565"/>
      <c r="V33" s="297">
        <v>0</v>
      </c>
      <c r="W33" s="565"/>
      <c r="X33" s="297">
        <f>$AC33-SUM($D33:V33)</f>
        <v>0</v>
      </c>
      <c r="Y33" s="565"/>
      <c r="Z33" s="297"/>
      <c r="AA33" s="274"/>
      <c r="AB33" s="534"/>
      <c r="AC33" s="542">
        <v>0</v>
      </c>
      <c r="AD33" s="297"/>
      <c r="AE33" s="1857"/>
      <c r="AF33" s="542">
        <v>0</v>
      </c>
      <c r="AG33" s="530"/>
      <c r="AH33" s="274"/>
      <c r="AI33" s="274">
        <f>ROUND(SUM(+AC33-AF33),1)</f>
        <v>0</v>
      </c>
      <c r="AJ33" s="274"/>
      <c r="AK33" s="276">
        <f>ROUND(IF(AF33=0,0,AI33/ABS(AF33)),3)</f>
        <v>0</v>
      </c>
      <c r="AL33" s="1610"/>
      <c r="AM33" s="1610"/>
    </row>
    <row r="34" spans="1:39" ht="15" customHeight="1">
      <c r="A34" s="35"/>
      <c r="B34" s="360" t="s">
        <v>415</v>
      </c>
      <c r="C34" s="301"/>
      <c r="D34" s="297" t="s">
        <v>103</v>
      </c>
      <c r="E34" s="278"/>
      <c r="F34" s="297"/>
      <c r="G34" s="297"/>
      <c r="H34" s="297"/>
      <c r="I34" s="278"/>
      <c r="J34" s="297"/>
      <c r="K34" s="278"/>
      <c r="L34" s="297"/>
      <c r="M34" s="278"/>
      <c r="N34" s="297"/>
      <c r="O34" s="278"/>
      <c r="P34" s="297"/>
      <c r="Q34" s="278"/>
      <c r="R34" s="297"/>
      <c r="S34" s="278"/>
      <c r="T34" s="297"/>
      <c r="U34" s="278"/>
      <c r="V34" s="297"/>
      <c r="W34" s="274"/>
      <c r="X34" s="297"/>
      <c r="Y34" s="274"/>
      <c r="Z34" s="297"/>
      <c r="AA34" s="278"/>
      <c r="AB34" s="681"/>
      <c r="AC34" s="274" t="s">
        <v>103</v>
      </c>
      <c r="AD34" s="274"/>
      <c r="AE34" s="535"/>
      <c r="AF34" s="274" t="s">
        <v>103</v>
      </c>
      <c r="AG34" s="530"/>
      <c r="AH34" s="274"/>
      <c r="AI34" s="274"/>
      <c r="AJ34" s="274"/>
      <c r="AK34" s="293"/>
      <c r="AL34" s="1610"/>
      <c r="AM34" s="1610"/>
    </row>
    <row r="35" spans="1:39" ht="15" customHeight="1">
      <c r="A35" s="35"/>
      <c r="B35" s="360" t="s">
        <v>1469</v>
      </c>
      <c r="C35" s="301"/>
      <c r="D35" s="297">
        <v>0</v>
      </c>
      <c r="E35" s="278"/>
      <c r="F35" s="297">
        <v>0</v>
      </c>
      <c r="G35" s="297"/>
      <c r="H35" s="297">
        <v>0</v>
      </c>
      <c r="I35" s="278"/>
      <c r="J35" s="297">
        <v>0</v>
      </c>
      <c r="K35" s="565"/>
      <c r="L35" s="297">
        <v>0</v>
      </c>
      <c r="M35" s="565"/>
      <c r="N35" s="297">
        <v>0</v>
      </c>
      <c r="O35" s="565"/>
      <c r="P35" s="297">
        <v>0</v>
      </c>
      <c r="Q35" s="565"/>
      <c r="R35" s="297">
        <v>0</v>
      </c>
      <c r="S35" s="565"/>
      <c r="T35" s="297">
        <v>0</v>
      </c>
      <c r="U35" s="565"/>
      <c r="V35" s="297">
        <v>0</v>
      </c>
      <c r="W35" s="565"/>
      <c r="X35" s="297">
        <f>$AC35-SUM($D35:V35)</f>
        <v>0</v>
      </c>
      <c r="Y35" s="565"/>
      <c r="Z35" s="297"/>
      <c r="AA35" s="274"/>
      <c r="AB35" s="534"/>
      <c r="AC35" s="542">
        <v>0</v>
      </c>
      <c r="AD35" s="297"/>
      <c r="AE35" s="1857"/>
      <c r="AF35" s="542">
        <v>0</v>
      </c>
      <c r="AG35" s="530"/>
      <c r="AH35" s="274"/>
      <c r="AI35" s="274">
        <f t="shared" si="0"/>
        <v>0</v>
      </c>
      <c r="AJ35" s="274"/>
      <c r="AK35" s="276">
        <f t="shared" ref="AK35:AK39" si="2">ROUND(IF(AF35=0,0,AI35/ABS(AF35)),3)</f>
        <v>0</v>
      </c>
      <c r="AL35" s="1610"/>
      <c r="AM35" s="1610"/>
    </row>
    <row r="36" spans="1:39" ht="15" customHeight="1">
      <c r="A36" s="35"/>
      <c r="B36" s="360" t="s">
        <v>1462</v>
      </c>
      <c r="C36" s="301"/>
      <c r="D36" s="297">
        <v>0</v>
      </c>
      <c r="E36" s="278"/>
      <c r="F36" s="297">
        <v>0</v>
      </c>
      <c r="G36" s="297"/>
      <c r="H36" s="297">
        <v>0</v>
      </c>
      <c r="I36" s="278"/>
      <c r="J36" s="297">
        <v>0</v>
      </c>
      <c r="K36" s="565"/>
      <c r="L36" s="297">
        <v>0</v>
      </c>
      <c r="M36" s="565"/>
      <c r="N36" s="297">
        <v>0</v>
      </c>
      <c r="O36" s="565"/>
      <c r="P36" s="297">
        <v>0</v>
      </c>
      <c r="Q36" s="565"/>
      <c r="R36" s="297">
        <v>0</v>
      </c>
      <c r="S36" s="565"/>
      <c r="T36" s="297">
        <v>0</v>
      </c>
      <c r="U36" s="565"/>
      <c r="V36" s="297">
        <v>0</v>
      </c>
      <c r="W36" s="565"/>
      <c r="X36" s="297">
        <f>$AC36-SUM($D36:V36)</f>
        <v>0</v>
      </c>
      <c r="Y36" s="565"/>
      <c r="Z36" s="297"/>
      <c r="AA36" s="274"/>
      <c r="AB36" s="534"/>
      <c r="AC36" s="542">
        <v>0</v>
      </c>
      <c r="AD36" s="297"/>
      <c r="AE36" s="1857"/>
      <c r="AF36" s="542">
        <v>0</v>
      </c>
      <c r="AG36" s="530"/>
      <c r="AH36" s="274"/>
      <c r="AI36" s="274">
        <f t="shared" si="0"/>
        <v>0</v>
      </c>
      <c r="AJ36" s="274"/>
      <c r="AK36" s="276">
        <f t="shared" si="2"/>
        <v>0</v>
      </c>
      <c r="AL36" s="1610"/>
      <c r="AM36" s="1610"/>
    </row>
    <row r="37" spans="1:39" ht="15" customHeight="1">
      <c r="A37" s="35"/>
      <c r="B37" s="360" t="s">
        <v>1439</v>
      </c>
      <c r="C37" s="301"/>
      <c r="D37" s="297">
        <v>0</v>
      </c>
      <c r="E37" s="278"/>
      <c r="F37" s="297">
        <v>0</v>
      </c>
      <c r="G37" s="297"/>
      <c r="H37" s="297">
        <v>0</v>
      </c>
      <c r="I37" s="278"/>
      <c r="J37" s="297">
        <v>0</v>
      </c>
      <c r="K37" s="565"/>
      <c r="L37" s="297">
        <v>0</v>
      </c>
      <c r="M37" s="565"/>
      <c r="N37" s="297">
        <v>0</v>
      </c>
      <c r="O37" s="565"/>
      <c r="P37" s="297">
        <v>0</v>
      </c>
      <c r="Q37" s="565"/>
      <c r="R37" s="297">
        <v>0</v>
      </c>
      <c r="S37" s="565"/>
      <c r="T37" s="297">
        <v>0</v>
      </c>
      <c r="U37" s="565"/>
      <c r="V37" s="297">
        <v>0</v>
      </c>
      <c r="W37" s="565"/>
      <c r="X37" s="297">
        <f>$AC37-SUM($D37:V37)</f>
        <v>0</v>
      </c>
      <c r="Y37" s="565"/>
      <c r="Z37" s="297"/>
      <c r="AA37" s="274"/>
      <c r="AB37" s="534"/>
      <c r="AC37" s="542">
        <v>0</v>
      </c>
      <c r="AD37" s="297"/>
      <c r="AE37" s="1857"/>
      <c r="AF37" s="542">
        <v>0</v>
      </c>
      <c r="AG37" s="530"/>
      <c r="AH37" s="274"/>
      <c r="AI37" s="274">
        <f t="shared" si="0"/>
        <v>0</v>
      </c>
      <c r="AJ37" s="274"/>
      <c r="AK37" s="276">
        <f t="shared" si="2"/>
        <v>0</v>
      </c>
      <c r="AL37" s="1610"/>
      <c r="AM37" s="1610"/>
    </row>
    <row r="38" spans="1:39" ht="15" customHeight="1">
      <c r="A38" s="35"/>
      <c r="B38" s="360" t="s">
        <v>505</v>
      </c>
      <c r="C38" s="301"/>
      <c r="D38" s="297">
        <v>0</v>
      </c>
      <c r="E38" s="278"/>
      <c r="F38" s="297">
        <v>0</v>
      </c>
      <c r="G38" s="297"/>
      <c r="H38" s="297">
        <v>0</v>
      </c>
      <c r="I38" s="278"/>
      <c r="J38" s="297">
        <v>0</v>
      </c>
      <c r="K38" s="565"/>
      <c r="L38" s="297">
        <v>0</v>
      </c>
      <c r="M38" s="565"/>
      <c r="N38" s="297">
        <v>0</v>
      </c>
      <c r="O38" s="565"/>
      <c r="P38" s="297">
        <v>0</v>
      </c>
      <c r="Q38" s="565"/>
      <c r="R38" s="297">
        <v>0</v>
      </c>
      <c r="S38" s="565"/>
      <c r="T38" s="297">
        <v>0</v>
      </c>
      <c r="U38" s="565"/>
      <c r="V38" s="297">
        <v>0</v>
      </c>
      <c r="W38" s="565"/>
      <c r="X38" s="297">
        <f>$AC38-SUM($D38:V38)</f>
        <v>0</v>
      </c>
      <c r="Y38" s="565"/>
      <c r="Z38" s="297"/>
      <c r="AA38" s="274"/>
      <c r="AB38" s="534"/>
      <c r="AC38" s="542">
        <v>0</v>
      </c>
      <c r="AD38" s="297"/>
      <c r="AE38" s="1857"/>
      <c r="AF38" s="542">
        <v>0</v>
      </c>
      <c r="AG38" s="530"/>
      <c r="AH38" s="274"/>
      <c r="AI38" s="274">
        <f t="shared" si="0"/>
        <v>0</v>
      </c>
      <c r="AJ38" s="274"/>
      <c r="AK38" s="276">
        <f t="shared" si="2"/>
        <v>0</v>
      </c>
      <c r="AL38" s="1610"/>
      <c r="AM38" s="1610"/>
    </row>
    <row r="39" spans="1:39" ht="15" customHeight="1">
      <c r="A39" s="35"/>
      <c r="B39" s="360" t="s">
        <v>420</v>
      </c>
      <c r="C39" s="301"/>
      <c r="D39" s="297">
        <v>0</v>
      </c>
      <c r="E39" s="278"/>
      <c r="F39" s="297">
        <v>0</v>
      </c>
      <c r="G39" s="297"/>
      <c r="H39" s="297">
        <v>0</v>
      </c>
      <c r="I39" s="278"/>
      <c r="J39" s="297">
        <v>0</v>
      </c>
      <c r="K39" s="565"/>
      <c r="L39" s="297">
        <v>0</v>
      </c>
      <c r="M39" s="565"/>
      <c r="N39" s="297">
        <v>0</v>
      </c>
      <c r="O39" s="565"/>
      <c r="P39" s="297">
        <v>0</v>
      </c>
      <c r="Q39" s="565"/>
      <c r="R39" s="297">
        <v>0</v>
      </c>
      <c r="S39" s="565"/>
      <c r="T39" s="297">
        <v>0</v>
      </c>
      <c r="U39" s="565"/>
      <c r="V39" s="297">
        <v>0</v>
      </c>
      <c r="W39" s="565"/>
      <c r="X39" s="297">
        <f>$AC39-SUM($D39:V39)</f>
        <v>0</v>
      </c>
      <c r="Y39" s="565"/>
      <c r="Z39" s="297"/>
      <c r="AA39" s="274"/>
      <c r="AB39" s="534"/>
      <c r="AC39" s="542">
        <v>0</v>
      </c>
      <c r="AD39" s="297"/>
      <c r="AE39" s="1857"/>
      <c r="AF39" s="542">
        <v>0</v>
      </c>
      <c r="AG39" s="530"/>
      <c r="AH39" s="274"/>
      <c r="AI39" s="274">
        <f t="shared" si="0"/>
        <v>0</v>
      </c>
      <c r="AJ39" s="274"/>
      <c r="AK39" s="276">
        <f t="shared" si="2"/>
        <v>0</v>
      </c>
      <c r="AL39" s="1610"/>
      <c r="AM39" s="1610"/>
    </row>
    <row r="40" spans="1:39" ht="15" customHeight="1">
      <c r="A40" s="35"/>
      <c r="B40" s="360" t="s">
        <v>421</v>
      </c>
      <c r="C40" s="301"/>
      <c r="D40" s="297" t="s">
        <v>103</v>
      </c>
      <c r="E40" s="278"/>
      <c r="F40" s="297"/>
      <c r="G40" s="297"/>
      <c r="H40" s="297"/>
      <c r="I40" s="278"/>
      <c r="J40" s="297"/>
      <c r="K40" s="278"/>
      <c r="L40" s="297"/>
      <c r="M40" s="278"/>
      <c r="N40" s="297"/>
      <c r="O40" s="278"/>
      <c r="P40" s="297"/>
      <c r="Q40" s="278"/>
      <c r="R40" s="297"/>
      <c r="S40" s="278"/>
      <c r="T40" s="297"/>
      <c r="U40" s="278"/>
      <c r="V40" s="297"/>
      <c r="W40" s="274"/>
      <c r="X40" s="297"/>
      <c r="Y40" s="274"/>
      <c r="Z40" s="297"/>
      <c r="AA40" s="278"/>
      <c r="AB40" s="681"/>
      <c r="AC40" s="274" t="s">
        <v>103</v>
      </c>
      <c r="AD40" s="274"/>
      <c r="AE40" s="535"/>
      <c r="AF40" s="274" t="s">
        <v>103</v>
      </c>
      <c r="AG40" s="530"/>
      <c r="AH40" s="274"/>
      <c r="AI40" s="274"/>
      <c r="AJ40" s="274"/>
      <c r="AK40" s="293"/>
      <c r="AL40" s="1610"/>
      <c r="AM40" s="1610"/>
    </row>
    <row r="41" spans="1:39" ht="15" customHeight="1">
      <c r="A41" s="35"/>
      <c r="B41" s="360" t="s">
        <v>1440</v>
      </c>
      <c r="C41" s="301"/>
      <c r="D41" s="297">
        <v>0</v>
      </c>
      <c r="E41" s="278"/>
      <c r="F41" s="297">
        <v>0</v>
      </c>
      <c r="G41" s="297"/>
      <c r="H41" s="297">
        <v>0</v>
      </c>
      <c r="I41" s="278"/>
      <c r="J41" s="297">
        <v>0</v>
      </c>
      <c r="K41" s="565"/>
      <c r="L41" s="297">
        <v>0</v>
      </c>
      <c r="M41" s="565"/>
      <c r="N41" s="297">
        <v>0</v>
      </c>
      <c r="O41" s="565"/>
      <c r="P41" s="297">
        <v>0</v>
      </c>
      <c r="Q41" s="565"/>
      <c r="R41" s="297">
        <v>0</v>
      </c>
      <c r="S41" s="565"/>
      <c r="T41" s="297">
        <v>0</v>
      </c>
      <c r="U41" s="565"/>
      <c r="V41" s="297">
        <v>0</v>
      </c>
      <c r="W41" s="565"/>
      <c r="X41" s="297">
        <f>$AC41-SUM($D41:V41)</f>
        <v>0</v>
      </c>
      <c r="Y41" s="565"/>
      <c r="Z41" s="297"/>
      <c r="AA41" s="274"/>
      <c r="AB41" s="534"/>
      <c r="AC41" s="542">
        <v>0</v>
      </c>
      <c r="AD41" s="297"/>
      <c r="AE41" s="1857"/>
      <c r="AF41" s="542">
        <v>0</v>
      </c>
      <c r="AG41" s="530"/>
      <c r="AH41" s="274"/>
      <c r="AI41" s="274">
        <f t="shared" si="0"/>
        <v>0</v>
      </c>
      <c r="AJ41" s="274"/>
      <c r="AK41" s="276">
        <f>ROUND(IF(AF41=0,0,AI41/ABS(AF41)),3)</f>
        <v>0</v>
      </c>
      <c r="AL41" s="1610"/>
      <c r="AM41" s="1610"/>
    </row>
    <row r="42" spans="1:39" ht="15" customHeight="1">
      <c r="A42" s="35"/>
      <c r="B42" s="360" t="s">
        <v>507</v>
      </c>
      <c r="C42" s="301"/>
      <c r="D42" s="297">
        <v>0</v>
      </c>
      <c r="E42" s="278"/>
      <c r="F42" s="297">
        <v>0</v>
      </c>
      <c r="G42" s="297"/>
      <c r="H42" s="297">
        <v>0</v>
      </c>
      <c r="I42" s="278"/>
      <c r="J42" s="297">
        <v>0</v>
      </c>
      <c r="K42" s="565"/>
      <c r="L42" s="297">
        <v>0</v>
      </c>
      <c r="M42" s="565"/>
      <c r="N42" s="297">
        <v>0</v>
      </c>
      <c r="O42" s="565"/>
      <c r="P42" s="297">
        <v>0</v>
      </c>
      <c r="Q42" s="565"/>
      <c r="R42" s="297">
        <v>0</v>
      </c>
      <c r="S42" s="565"/>
      <c r="T42" s="297">
        <v>0</v>
      </c>
      <c r="U42" s="565"/>
      <c r="V42" s="297">
        <v>0</v>
      </c>
      <c r="W42" s="565"/>
      <c r="X42" s="297">
        <f>$AC42-SUM($D42:V42)</f>
        <v>0</v>
      </c>
      <c r="Y42" s="565"/>
      <c r="Z42" s="297"/>
      <c r="AA42" s="274"/>
      <c r="AB42" s="534"/>
      <c r="AC42" s="542">
        <v>0</v>
      </c>
      <c r="AD42" s="297"/>
      <c r="AE42" s="1857"/>
      <c r="AF42" s="542">
        <v>0</v>
      </c>
      <c r="AG42" s="530"/>
      <c r="AH42" s="274"/>
      <c r="AI42" s="274">
        <f t="shared" si="0"/>
        <v>0</v>
      </c>
      <c r="AJ42" s="274"/>
      <c r="AK42" s="276">
        <f t="shared" ref="AK42:AK48" si="3">ROUND(IF(AF42=0,0,AI42/ABS(AF42)),3)</f>
        <v>0</v>
      </c>
      <c r="AL42" s="1610"/>
      <c r="AM42" s="1610"/>
    </row>
    <row r="43" spans="1:39" ht="15" customHeight="1">
      <c r="A43" s="35"/>
      <c r="B43" s="360" t="s">
        <v>1442</v>
      </c>
      <c r="C43" s="301"/>
      <c r="D43" s="297">
        <v>0.1</v>
      </c>
      <c r="E43" s="278"/>
      <c r="F43" s="297">
        <v>0</v>
      </c>
      <c r="G43" s="297"/>
      <c r="H43" s="297">
        <v>0.30000000000000004</v>
      </c>
      <c r="I43" s="278"/>
      <c r="J43" s="297">
        <v>0</v>
      </c>
      <c r="K43" s="565"/>
      <c r="L43" s="297">
        <v>0</v>
      </c>
      <c r="M43" s="565"/>
      <c r="N43" s="297">
        <v>-0.1</v>
      </c>
      <c r="O43" s="565"/>
      <c r="P43" s="297">
        <v>9.9999999999999978E-2</v>
      </c>
      <c r="Q43" s="565"/>
      <c r="R43" s="297">
        <v>0</v>
      </c>
      <c r="S43" s="565"/>
      <c r="T43" s="297">
        <v>0</v>
      </c>
      <c r="U43" s="565"/>
      <c r="V43" s="297">
        <v>0</v>
      </c>
      <c r="W43" s="565"/>
      <c r="X43" s="297">
        <f>$AC43-SUM($D43:V43)</f>
        <v>0</v>
      </c>
      <c r="Y43" s="565"/>
      <c r="Z43" s="297"/>
      <c r="AA43" s="274"/>
      <c r="AB43" s="534"/>
      <c r="AC43" s="542">
        <v>0.4</v>
      </c>
      <c r="AD43" s="297"/>
      <c r="AE43" s="1857"/>
      <c r="AF43" s="542">
        <v>1.7</v>
      </c>
      <c r="AG43" s="530"/>
      <c r="AH43" s="274"/>
      <c r="AI43" s="274">
        <f t="shared" si="0"/>
        <v>-1.3</v>
      </c>
      <c r="AJ43" s="274"/>
      <c r="AK43" s="276">
        <f>ROUND(IF(AF43=0,1,AI43/ABS(AF43)),3)</f>
        <v>-0.76500000000000001</v>
      </c>
      <c r="AL43" s="1610"/>
      <c r="AM43" s="1610"/>
    </row>
    <row r="44" spans="1:39" ht="15" customHeight="1">
      <c r="A44" s="35"/>
      <c r="B44" s="360" t="s">
        <v>1443</v>
      </c>
      <c r="C44" s="301"/>
      <c r="D44" s="297">
        <v>0</v>
      </c>
      <c r="E44" s="278"/>
      <c r="F44" s="297">
        <v>0</v>
      </c>
      <c r="G44" s="297"/>
      <c r="H44" s="297">
        <v>0</v>
      </c>
      <c r="I44" s="278"/>
      <c r="J44" s="297">
        <v>0</v>
      </c>
      <c r="K44" s="565"/>
      <c r="L44" s="297">
        <v>0</v>
      </c>
      <c r="M44" s="565"/>
      <c r="N44" s="297">
        <v>0</v>
      </c>
      <c r="O44" s="565"/>
      <c r="P44" s="297">
        <v>0</v>
      </c>
      <c r="Q44" s="565"/>
      <c r="R44" s="297">
        <v>0</v>
      </c>
      <c r="S44" s="565"/>
      <c r="T44" s="297">
        <v>0</v>
      </c>
      <c r="U44" s="565"/>
      <c r="V44" s="297">
        <v>0</v>
      </c>
      <c r="W44" s="565"/>
      <c r="X44" s="297">
        <f>$AC44-SUM($D44:V44)</f>
        <v>0</v>
      </c>
      <c r="Y44" s="565"/>
      <c r="Z44" s="297"/>
      <c r="AA44" s="274"/>
      <c r="AB44" s="534"/>
      <c r="AC44" s="542">
        <v>0</v>
      </c>
      <c r="AD44" s="297"/>
      <c r="AE44" s="1857"/>
      <c r="AF44" s="542">
        <v>0</v>
      </c>
      <c r="AG44" s="530"/>
      <c r="AH44" s="274"/>
      <c r="AI44" s="274">
        <f t="shared" si="0"/>
        <v>0</v>
      </c>
      <c r="AJ44" s="274"/>
      <c r="AK44" s="276">
        <f t="shared" si="3"/>
        <v>0</v>
      </c>
      <c r="AL44" s="1610"/>
      <c r="AM44" s="1610"/>
    </row>
    <row r="45" spans="1:39" ht="15" customHeight="1">
      <c r="A45" s="35"/>
      <c r="B45" s="360" t="s">
        <v>510</v>
      </c>
      <c r="C45" s="301"/>
      <c r="D45" s="297">
        <v>0</v>
      </c>
      <c r="E45" s="278"/>
      <c r="F45" s="297">
        <v>0</v>
      </c>
      <c r="G45" s="297"/>
      <c r="H45" s="297">
        <v>0</v>
      </c>
      <c r="I45" s="278"/>
      <c r="J45" s="297">
        <v>0</v>
      </c>
      <c r="K45" s="565"/>
      <c r="L45" s="297">
        <v>0</v>
      </c>
      <c r="M45" s="565"/>
      <c r="N45" s="297">
        <v>0</v>
      </c>
      <c r="O45" s="565"/>
      <c r="P45" s="297">
        <v>0</v>
      </c>
      <c r="Q45" s="565"/>
      <c r="R45" s="297">
        <v>0</v>
      </c>
      <c r="S45" s="565"/>
      <c r="T45" s="297">
        <v>0</v>
      </c>
      <c r="U45" s="565"/>
      <c r="V45" s="297">
        <v>0</v>
      </c>
      <c r="W45" s="565"/>
      <c r="X45" s="297">
        <f>$AC45-SUM($D45:V45)</f>
        <v>0</v>
      </c>
      <c r="Y45" s="565"/>
      <c r="Z45" s="297"/>
      <c r="AA45" s="274"/>
      <c r="AB45" s="534"/>
      <c r="AC45" s="542">
        <v>0</v>
      </c>
      <c r="AD45" s="297"/>
      <c r="AE45" s="1857"/>
      <c r="AF45" s="542">
        <v>0</v>
      </c>
      <c r="AG45" s="530"/>
      <c r="AH45" s="274"/>
      <c r="AI45" s="274">
        <f t="shared" si="0"/>
        <v>0</v>
      </c>
      <c r="AJ45" s="274"/>
      <c r="AK45" s="276">
        <f t="shared" si="3"/>
        <v>0</v>
      </c>
      <c r="AL45" s="1610"/>
      <c r="AM45" s="1610"/>
    </row>
    <row r="46" spans="1:39" ht="15" customHeight="1">
      <c r="A46" s="35"/>
      <c r="B46" s="360" t="s">
        <v>1464</v>
      </c>
      <c r="C46" s="301"/>
      <c r="D46" s="297">
        <v>8.4</v>
      </c>
      <c r="E46" s="278"/>
      <c r="F46" s="297">
        <v>9.1</v>
      </c>
      <c r="G46" s="297"/>
      <c r="H46" s="297">
        <v>8.6000000000000032</v>
      </c>
      <c r="I46" s="278"/>
      <c r="J46" s="297">
        <v>9.1</v>
      </c>
      <c r="K46" s="565"/>
      <c r="L46" s="297">
        <v>8.6999999999999975</v>
      </c>
      <c r="M46" s="565"/>
      <c r="N46" s="297">
        <v>8.8999999999999968</v>
      </c>
      <c r="O46" s="565"/>
      <c r="P46" s="297">
        <v>8.6000000000000014</v>
      </c>
      <c r="Q46" s="565"/>
      <c r="R46" s="297">
        <v>8.8000000000000043</v>
      </c>
      <c r="S46" s="565"/>
      <c r="T46" s="297">
        <v>9</v>
      </c>
      <c r="U46" s="565"/>
      <c r="V46" s="297">
        <v>8.5</v>
      </c>
      <c r="W46" s="565"/>
      <c r="X46" s="297">
        <f>$AC46-SUM($D46:V46)</f>
        <v>8.7000000000000028</v>
      </c>
      <c r="Y46" s="565"/>
      <c r="Z46" s="297"/>
      <c r="AA46" s="274"/>
      <c r="AB46" s="534"/>
      <c r="AC46" s="542">
        <v>96.4</v>
      </c>
      <c r="AD46" s="297"/>
      <c r="AE46" s="1857"/>
      <c r="AF46" s="542">
        <v>94.3</v>
      </c>
      <c r="AG46" s="530"/>
      <c r="AH46" s="274"/>
      <c r="AI46" s="274">
        <f t="shared" si="0"/>
        <v>2.1</v>
      </c>
      <c r="AJ46" s="274"/>
      <c r="AK46" s="276">
        <f t="shared" si="3"/>
        <v>2.1999999999999999E-2</v>
      </c>
      <c r="AL46" s="1610"/>
      <c r="AM46" s="1610"/>
    </row>
    <row r="47" spans="1:39" ht="15" customHeight="1">
      <c r="A47" s="35"/>
      <c r="B47" s="360" t="s">
        <v>1445</v>
      </c>
      <c r="C47" s="301"/>
      <c r="D47" s="297">
        <v>0</v>
      </c>
      <c r="E47" s="278"/>
      <c r="F47" s="297">
        <v>0</v>
      </c>
      <c r="G47" s="297"/>
      <c r="H47" s="297">
        <v>0</v>
      </c>
      <c r="I47" s="278"/>
      <c r="J47" s="297">
        <v>0</v>
      </c>
      <c r="K47" s="565"/>
      <c r="L47" s="297">
        <v>0</v>
      </c>
      <c r="M47" s="565"/>
      <c r="N47" s="297">
        <v>0</v>
      </c>
      <c r="O47" s="565"/>
      <c r="P47" s="297">
        <v>0</v>
      </c>
      <c r="Q47" s="565"/>
      <c r="R47" s="297">
        <v>0</v>
      </c>
      <c r="S47" s="565"/>
      <c r="T47" s="297">
        <v>0</v>
      </c>
      <c r="U47" s="565"/>
      <c r="V47" s="297">
        <v>0</v>
      </c>
      <c r="W47" s="565"/>
      <c r="X47" s="297">
        <f>$AC47-SUM($D47:V47)</f>
        <v>0</v>
      </c>
      <c r="Y47" s="565"/>
      <c r="Z47" s="297"/>
      <c r="AA47" s="274"/>
      <c r="AB47" s="534"/>
      <c r="AC47" s="542">
        <v>0</v>
      </c>
      <c r="AD47" s="297"/>
      <c r="AE47" s="1857"/>
      <c r="AF47" s="542">
        <v>0</v>
      </c>
      <c r="AG47" s="530"/>
      <c r="AH47" s="274"/>
      <c r="AI47" s="274">
        <f t="shared" si="0"/>
        <v>0</v>
      </c>
      <c r="AJ47" s="274"/>
      <c r="AK47" s="276">
        <f t="shared" si="3"/>
        <v>0</v>
      </c>
      <c r="AL47" s="1610"/>
      <c r="AM47" s="1610"/>
    </row>
    <row r="48" spans="1:39" ht="15" customHeight="1">
      <c r="A48" s="35"/>
      <c r="B48" s="360" t="s">
        <v>1472</v>
      </c>
      <c r="C48" s="301"/>
      <c r="D48" s="297">
        <v>0</v>
      </c>
      <c r="E48" s="278"/>
      <c r="F48" s="297">
        <v>0</v>
      </c>
      <c r="G48" s="297"/>
      <c r="H48" s="297">
        <v>0</v>
      </c>
      <c r="I48" s="278"/>
      <c r="J48" s="297">
        <v>0</v>
      </c>
      <c r="K48" s="565"/>
      <c r="L48" s="297">
        <v>0</v>
      </c>
      <c r="M48" s="565"/>
      <c r="N48" s="297">
        <v>0</v>
      </c>
      <c r="O48" s="565"/>
      <c r="P48" s="297">
        <v>0</v>
      </c>
      <c r="Q48" s="565"/>
      <c r="R48" s="297">
        <v>0</v>
      </c>
      <c r="S48" s="565"/>
      <c r="T48" s="297">
        <v>0</v>
      </c>
      <c r="U48" s="565"/>
      <c r="V48" s="297">
        <v>0</v>
      </c>
      <c r="W48" s="565"/>
      <c r="X48" s="297">
        <f>$AC48-SUM($D48:V48)</f>
        <v>0</v>
      </c>
      <c r="Y48" s="565"/>
      <c r="Z48" s="297"/>
      <c r="AA48" s="274"/>
      <c r="AB48" s="534"/>
      <c r="AC48" s="542">
        <v>0</v>
      </c>
      <c r="AD48" s="297"/>
      <c r="AE48" s="1857"/>
      <c r="AF48" s="542">
        <v>0</v>
      </c>
      <c r="AG48" s="530"/>
      <c r="AH48" s="274"/>
      <c r="AI48" s="274">
        <f t="shared" si="0"/>
        <v>0</v>
      </c>
      <c r="AJ48" s="274"/>
      <c r="AK48" s="276">
        <f t="shared" si="3"/>
        <v>0</v>
      </c>
      <c r="AL48" s="1610"/>
      <c r="AM48" s="1610"/>
    </row>
    <row r="49" spans="1:39" ht="15" customHeight="1">
      <c r="A49" s="35"/>
      <c r="B49" s="360" t="s">
        <v>513</v>
      </c>
      <c r="C49" s="301"/>
      <c r="D49" s="297">
        <v>0.1</v>
      </c>
      <c r="E49" s="278"/>
      <c r="F49" s="297">
        <v>0</v>
      </c>
      <c r="G49" s="297"/>
      <c r="H49" s="297">
        <v>0.19999999999999998</v>
      </c>
      <c r="I49" s="278"/>
      <c r="J49" s="297">
        <v>0.30000000000000004</v>
      </c>
      <c r="K49" s="565"/>
      <c r="L49" s="297">
        <v>2.8999999999999995</v>
      </c>
      <c r="M49" s="565"/>
      <c r="N49" s="297">
        <v>0.10000000000000053</v>
      </c>
      <c r="O49" s="565"/>
      <c r="P49" s="297">
        <v>0.69999999999999973</v>
      </c>
      <c r="Q49" s="565"/>
      <c r="R49" s="297">
        <v>0</v>
      </c>
      <c r="S49" s="565"/>
      <c r="T49" s="297">
        <v>0.10000000000000053</v>
      </c>
      <c r="U49" s="565"/>
      <c r="V49" s="297">
        <v>0.39999999999999947</v>
      </c>
      <c r="W49" s="565"/>
      <c r="X49" s="297">
        <f>$AC49-SUM($D49:V49)</f>
        <v>0.10000000000000053</v>
      </c>
      <c r="Y49" s="565"/>
      <c r="Z49" s="297"/>
      <c r="AA49" s="274"/>
      <c r="AB49" s="534"/>
      <c r="AC49" s="542">
        <v>4.9000000000000004</v>
      </c>
      <c r="AD49" s="274"/>
      <c r="AE49" s="535"/>
      <c r="AF49" s="542">
        <v>1.9</v>
      </c>
      <c r="AG49" s="530"/>
      <c r="AH49" s="274"/>
      <c r="AI49" s="274">
        <f t="shared" si="0"/>
        <v>3</v>
      </c>
      <c r="AJ49" s="274"/>
      <c r="AK49" s="276">
        <f>ROUND(IF(AF49=0,1,AI49/ABS(AF49)),3)</f>
        <v>1.579</v>
      </c>
      <c r="AL49" s="1610"/>
      <c r="AM49" s="1610"/>
    </row>
    <row r="50" spans="1:39" ht="15" customHeight="1">
      <c r="A50" s="35"/>
      <c r="B50" s="360" t="s">
        <v>432</v>
      </c>
      <c r="C50" s="301"/>
      <c r="D50" s="297">
        <v>0</v>
      </c>
      <c r="E50" s="278"/>
      <c r="F50" s="297">
        <v>0</v>
      </c>
      <c r="G50" s="297"/>
      <c r="H50" s="297">
        <v>0</v>
      </c>
      <c r="I50" s="278"/>
      <c r="J50" s="297">
        <v>0</v>
      </c>
      <c r="K50" s="565"/>
      <c r="L50" s="297">
        <v>0</v>
      </c>
      <c r="M50" s="565"/>
      <c r="N50" s="297">
        <v>0</v>
      </c>
      <c r="O50" s="565"/>
      <c r="P50" s="297">
        <v>0</v>
      </c>
      <c r="Q50" s="565"/>
      <c r="R50" s="297">
        <v>0</v>
      </c>
      <c r="S50" s="565"/>
      <c r="T50" s="297">
        <v>0</v>
      </c>
      <c r="U50" s="565"/>
      <c r="V50" s="297">
        <v>0</v>
      </c>
      <c r="W50" s="565"/>
      <c r="X50" s="297">
        <f>$AC50-SUM($D50:V50)</f>
        <v>0</v>
      </c>
      <c r="Y50" s="565"/>
      <c r="Z50" s="297"/>
      <c r="AA50" s="274"/>
      <c r="AB50" s="534"/>
      <c r="AC50" s="542">
        <v>0</v>
      </c>
      <c r="AD50" s="274"/>
      <c r="AE50" s="535"/>
      <c r="AF50" s="542">
        <v>0</v>
      </c>
      <c r="AG50" s="530"/>
      <c r="AH50" s="274"/>
      <c r="AI50" s="274">
        <f t="shared" si="0"/>
        <v>0</v>
      </c>
      <c r="AJ50" s="274"/>
      <c r="AK50" s="276">
        <f>ROUND(IF(AF50=0,0,AI50/ABS(AF50)),3)</f>
        <v>0</v>
      </c>
      <c r="AL50" s="1610"/>
      <c r="AM50" s="1610"/>
    </row>
    <row r="51" spans="1:39" ht="15" customHeight="1">
      <c r="A51" s="35"/>
      <c r="B51" s="360" t="s">
        <v>433</v>
      </c>
      <c r="C51" s="301"/>
      <c r="D51" s="297">
        <v>0</v>
      </c>
      <c r="E51" s="278"/>
      <c r="F51" s="297">
        <v>0</v>
      </c>
      <c r="G51" s="297"/>
      <c r="H51" s="297">
        <v>0</v>
      </c>
      <c r="I51" s="278"/>
      <c r="J51" s="297">
        <v>0</v>
      </c>
      <c r="K51" s="565"/>
      <c r="L51" s="297">
        <v>0</v>
      </c>
      <c r="M51" s="565"/>
      <c r="N51" s="297">
        <v>0</v>
      </c>
      <c r="O51" s="565"/>
      <c r="P51" s="297">
        <v>0</v>
      </c>
      <c r="Q51" s="565"/>
      <c r="R51" s="297">
        <v>0</v>
      </c>
      <c r="S51" s="565"/>
      <c r="T51" s="297">
        <v>0</v>
      </c>
      <c r="U51" s="565"/>
      <c r="V51" s="297">
        <v>0</v>
      </c>
      <c r="W51" s="565"/>
      <c r="X51" s="297">
        <f>$AC51-SUM($D51:V51)</f>
        <v>0</v>
      </c>
      <c r="Y51" s="565"/>
      <c r="Z51" s="297"/>
      <c r="AA51" s="274"/>
      <c r="AB51" s="534"/>
      <c r="AC51" s="542">
        <v>0</v>
      </c>
      <c r="AD51" s="297"/>
      <c r="AE51" s="1857"/>
      <c r="AF51" s="542">
        <v>0</v>
      </c>
      <c r="AG51" s="530"/>
      <c r="AH51" s="274"/>
      <c r="AI51" s="274">
        <f t="shared" si="0"/>
        <v>0</v>
      </c>
      <c r="AJ51" s="274"/>
      <c r="AK51" s="276">
        <f>ROUND(IF(AF51=0,0,AI51/ABS(AF51)),3)</f>
        <v>0</v>
      </c>
      <c r="AL51" s="1610"/>
      <c r="AM51" s="1610"/>
    </row>
    <row r="52" spans="1:39" ht="15" customHeight="1">
      <c r="A52" s="35"/>
      <c r="B52" s="88" t="s">
        <v>534</v>
      </c>
      <c r="C52" s="301"/>
      <c r="D52" s="430">
        <f>ROUND(SUM(D19:D51),1)</f>
        <v>85.8</v>
      </c>
      <c r="E52" s="278"/>
      <c r="F52" s="430">
        <f>ROUND(SUM(F19:F51),1)</f>
        <v>113.1</v>
      </c>
      <c r="G52" s="278"/>
      <c r="H52" s="430">
        <f>ROUND(SUM(H19:H51),1)</f>
        <v>72</v>
      </c>
      <c r="I52" s="278"/>
      <c r="J52" s="430">
        <f>ROUND(SUM(J19:J51),1)</f>
        <v>75.2</v>
      </c>
      <c r="K52" s="278"/>
      <c r="L52" s="430">
        <f>ROUND(SUM(L19:L51),1)</f>
        <v>87.6</v>
      </c>
      <c r="M52" s="278"/>
      <c r="N52" s="430">
        <f>ROUND(SUM(N19:N51),1)</f>
        <v>72.5</v>
      </c>
      <c r="O52" s="278"/>
      <c r="P52" s="430">
        <f>ROUND(SUM(P19:P51),1)</f>
        <v>71.5</v>
      </c>
      <c r="Q52" s="278"/>
      <c r="R52" s="430">
        <f>ROUND(SUM(R19:R51),1)</f>
        <v>75.2</v>
      </c>
      <c r="S52" s="18"/>
      <c r="T52" s="430">
        <f>ROUND(SUM(T19:T51),1)</f>
        <v>65.2</v>
      </c>
      <c r="U52" s="278"/>
      <c r="V52" s="430">
        <f>ROUND(SUM(V19:V51),1)</f>
        <v>65.2</v>
      </c>
      <c r="W52" s="274"/>
      <c r="X52" s="430">
        <f>ROUND(SUM(X19:X51),1)</f>
        <v>54.7</v>
      </c>
      <c r="Y52" s="274"/>
      <c r="Z52" s="430">
        <f>ROUND(SUM(Z19:Z51),1)</f>
        <v>0</v>
      </c>
      <c r="AA52" s="278"/>
      <c r="AB52" s="681"/>
      <c r="AC52" s="430">
        <f>ROUND(SUM(AC19:AC51),1)</f>
        <v>838</v>
      </c>
      <c r="AD52" s="274"/>
      <c r="AE52" s="535"/>
      <c r="AF52" s="430">
        <f>ROUND(SUM(AF19:AF51),1)</f>
        <v>1037</v>
      </c>
      <c r="AG52" s="530"/>
      <c r="AH52" s="274"/>
      <c r="AI52" s="430">
        <f>ROUND(SUM(AI19:AI51),1)</f>
        <v>-199</v>
      </c>
      <c r="AJ52" s="274"/>
      <c r="AK52" s="1076">
        <f>ROUND(SUM((AC52-AF52)/ABS(AF52)),3)</f>
        <v>-0.192</v>
      </c>
      <c r="AL52" s="1610"/>
      <c r="AM52" s="1610"/>
    </row>
    <row r="53" spans="1:39" ht="15" customHeight="1">
      <c r="A53" s="35"/>
      <c r="B53" s="360"/>
      <c r="C53" s="301"/>
      <c r="D53" s="297"/>
      <c r="E53" s="278"/>
      <c r="F53" s="285"/>
      <c r="G53" s="278"/>
      <c r="H53" s="274"/>
      <c r="I53" s="278"/>
      <c r="J53" s="274"/>
      <c r="K53" s="278"/>
      <c r="L53" s="274"/>
      <c r="M53" s="278"/>
      <c r="N53" s="274"/>
      <c r="O53" s="278"/>
      <c r="P53" s="62"/>
      <c r="Q53" s="278"/>
      <c r="R53" s="394"/>
      <c r="S53" s="278"/>
      <c r="T53" s="285"/>
      <c r="U53" s="278"/>
      <c r="V53" s="297"/>
      <c r="W53" s="274"/>
      <c r="X53" s="297"/>
      <c r="Y53" s="274"/>
      <c r="Z53" s="297"/>
      <c r="AA53" s="278"/>
      <c r="AB53" s="681"/>
      <c r="AC53" s="274"/>
      <c r="AD53" s="274"/>
      <c r="AE53" s="535"/>
      <c r="AF53" s="274"/>
      <c r="AG53" s="530"/>
      <c r="AH53" s="274"/>
      <c r="AI53" s="274"/>
      <c r="AJ53" s="274"/>
      <c r="AK53" s="293"/>
      <c r="AL53" s="1610"/>
      <c r="AM53" s="1610"/>
    </row>
    <row r="54" spans="1:39" ht="15" customHeight="1">
      <c r="A54" s="35"/>
      <c r="B54" s="1063" t="s">
        <v>515</v>
      </c>
      <c r="C54" s="301"/>
      <c r="D54" s="297">
        <v>8034.8</v>
      </c>
      <c r="E54" s="278"/>
      <c r="F54" s="297">
        <v>7408.5999999999995</v>
      </c>
      <c r="G54" s="297"/>
      <c r="H54" s="297">
        <v>7737.9000000000005</v>
      </c>
      <c r="I54" s="278"/>
      <c r="J54" s="297">
        <v>7184.4000000000024</v>
      </c>
      <c r="K54" s="565"/>
      <c r="L54" s="297">
        <v>9850.6000000000022</v>
      </c>
      <c r="M54" s="565"/>
      <c r="N54" s="297">
        <v>7466.3999999999905</v>
      </c>
      <c r="O54" s="565"/>
      <c r="P54" s="297">
        <v>7365.5</v>
      </c>
      <c r="Q54" s="565"/>
      <c r="R54" s="297">
        <v>7891.5</v>
      </c>
      <c r="S54" s="565"/>
      <c r="T54" s="297">
        <v>5018</v>
      </c>
      <c r="U54" s="565"/>
      <c r="V54" s="297">
        <v>6305</v>
      </c>
      <c r="W54" s="565"/>
      <c r="X54" s="297">
        <f>$AC54-SUM($D54:V54)</f>
        <v>9793.6999999999971</v>
      </c>
      <c r="Y54" s="565"/>
      <c r="Z54" s="297"/>
      <c r="AA54" s="274"/>
      <c r="AB54" s="534"/>
      <c r="AC54" s="542">
        <v>84056.4</v>
      </c>
      <c r="AD54" s="297"/>
      <c r="AE54" s="1857"/>
      <c r="AF54" s="542">
        <v>84563.6</v>
      </c>
      <c r="AG54" s="530"/>
      <c r="AH54" s="274"/>
      <c r="AI54" s="274">
        <f>ROUND(SUM(+AC54-AF54),1)</f>
        <v>-507.2</v>
      </c>
      <c r="AJ54" s="274"/>
      <c r="AK54" s="545">
        <f>ROUND(SUM((AC54-AF54)/ABS(AF54)),3)</f>
        <v>-6.0000000000000001E-3</v>
      </c>
      <c r="AL54" s="1610"/>
      <c r="AM54" s="1610"/>
    </row>
    <row r="55" spans="1:39" ht="15" customHeight="1">
      <c r="A55" s="35"/>
      <c r="B55" s="301"/>
      <c r="C55" s="301"/>
      <c r="D55" s="1057"/>
      <c r="E55" s="278"/>
      <c r="F55" s="1057"/>
      <c r="G55" s="278"/>
      <c r="H55" s="1057"/>
      <c r="I55" s="278"/>
      <c r="J55" s="1057"/>
      <c r="K55" s="278"/>
      <c r="L55" s="1057"/>
      <c r="M55" s="278"/>
      <c r="N55" s="1057"/>
      <c r="O55" s="278"/>
      <c r="P55" s="1057"/>
      <c r="Q55" s="278"/>
      <c r="R55" s="1057"/>
      <c r="S55" s="278"/>
      <c r="T55" s="629"/>
      <c r="U55" s="278"/>
      <c r="V55" s="629"/>
      <c r="W55" s="274"/>
      <c r="X55" s="629"/>
      <c r="Y55" s="274"/>
      <c r="Z55" s="629"/>
      <c r="AA55" s="278"/>
      <c r="AB55" s="681"/>
      <c r="AC55" s="629"/>
      <c r="AD55" s="274"/>
      <c r="AE55" s="535"/>
      <c r="AF55" s="629"/>
      <c r="AG55" s="530"/>
      <c r="AH55" s="274"/>
      <c r="AI55" s="1077"/>
      <c r="AJ55" s="541"/>
      <c r="AK55" s="546"/>
      <c r="AL55" s="1610"/>
      <c r="AM55" s="1610"/>
    </row>
    <row r="56" spans="1:39" ht="15" customHeight="1">
      <c r="A56" s="35"/>
      <c r="B56" s="3" t="s">
        <v>435</v>
      </c>
      <c r="C56" s="301"/>
      <c r="D56" s="13">
        <f>ROUND(SUM(+D52+D54),2)</f>
        <v>8120.6</v>
      </c>
      <c r="E56" s="40"/>
      <c r="F56" s="13">
        <f>ROUND(SUM(+F52+F54),2)</f>
        <v>7521.7</v>
      </c>
      <c r="G56" s="40"/>
      <c r="H56" s="13">
        <f>ROUND(SUM(+H52+H54),2)</f>
        <v>7809.9</v>
      </c>
      <c r="I56" s="40"/>
      <c r="J56" s="13">
        <f>ROUND(SUM(+J52+J54),2)</f>
        <v>7259.6</v>
      </c>
      <c r="K56" s="40"/>
      <c r="L56" s="13">
        <f>ROUND(SUM(+L52+L54),2)</f>
        <v>9938.2000000000007</v>
      </c>
      <c r="M56" s="40"/>
      <c r="N56" s="13">
        <f>ROUND(SUM(+N52+N54),2)</f>
        <v>7538.9</v>
      </c>
      <c r="O56" s="40"/>
      <c r="P56" s="13">
        <f>ROUND(SUM(+P52+P54),2)</f>
        <v>7437</v>
      </c>
      <c r="Q56" s="40"/>
      <c r="R56" s="13">
        <f>ROUND(SUM(+R52+R54),2)</f>
        <v>7966.7</v>
      </c>
      <c r="S56" s="13"/>
      <c r="T56" s="13">
        <f>ROUND(SUM(+T52+T54),2)</f>
        <v>5083.2</v>
      </c>
      <c r="U56" s="40"/>
      <c r="V56" s="13">
        <f>ROUND(SUM(+V52+V54),2)</f>
        <v>6370.2</v>
      </c>
      <c r="W56" s="13"/>
      <c r="X56" s="13">
        <f>ROUND(SUM(+X52+X54),2)</f>
        <v>9848.4</v>
      </c>
      <c r="Y56" s="13"/>
      <c r="Z56" s="13">
        <f>ROUND(SUM(+Z52+Z54),2)</f>
        <v>0</v>
      </c>
      <c r="AA56" s="40"/>
      <c r="AB56" s="682"/>
      <c r="AC56" s="13">
        <f>ROUND(SUM(+AC52+AC54),2)</f>
        <v>84894.399999999994</v>
      </c>
      <c r="AD56" s="13"/>
      <c r="AE56" s="683"/>
      <c r="AF56" s="13">
        <f>ROUND(SUM(+AF52+AF54),2)</f>
        <v>85600.6</v>
      </c>
      <c r="AG56" s="79"/>
      <c r="AH56" s="13"/>
      <c r="AI56" s="367">
        <f>ROUND(SUM(+AI52+AI54),1)</f>
        <v>-706.2</v>
      </c>
      <c r="AJ56" s="80"/>
      <c r="AK56" s="547">
        <f>ROUND(SUM((AC56-AF56)/ABS(AF56)),3)</f>
        <v>-8.0000000000000002E-3</v>
      </c>
      <c r="AL56" s="1610"/>
      <c r="AM56" s="1610"/>
    </row>
    <row r="57" spans="1:39" ht="15" customHeight="1">
      <c r="A57" s="35"/>
      <c r="B57" s="301"/>
      <c r="C57" s="301"/>
      <c r="D57" s="1057"/>
      <c r="E57" s="278"/>
      <c r="F57" s="629"/>
      <c r="G57" s="278"/>
      <c r="H57" s="629"/>
      <c r="I57" s="278"/>
      <c r="J57" s="629"/>
      <c r="K57" s="278"/>
      <c r="L57" s="629"/>
      <c r="M57" s="278"/>
      <c r="N57" s="629"/>
      <c r="O57" s="278"/>
      <c r="P57" s="629"/>
      <c r="Q57" s="278"/>
      <c r="R57" s="629"/>
      <c r="S57" s="278"/>
      <c r="T57" s="629"/>
      <c r="U57" s="278"/>
      <c r="V57" s="629"/>
      <c r="W57" s="274"/>
      <c r="X57" s="629"/>
      <c r="Y57" s="274"/>
      <c r="Z57" s="629"/>
      <c r="AA57" s="278"/>
      <c r="AB57" s="681"/>
      <c r="AC57" s="1057"/>
      <c r="AD57" s="278"/>
      <c r="AE57" s="1075"/>
      <c r="AF57" s="1057"/>
      <c r="AG57" s="1260"/>
      <c r="AH57" s="374"/>
      <c r="AI57" s="541"/>
      <c r="AJ57" s="541"/>
      <c r="AK57" s="546"/>
      <c r="AL57" s="1610"/>
      <c r="AM57" s="1610"/>
    </row>
    <row r="58" spans="1:39" ht="15" customHeight="1">
      <c r="A58" s="35"/>
      <c r="B58" s="1248" t="s">
        <v>122</v>
      </c>
      <c r="C58" s="301"/>
      <c r="D58" s="278"/>
      <c r="E58" s="278"/>
      <c r="F58" s="274"/>
      <c r="G58" s="278"/>
      <c r="H58" s="274"/>
      <c r="I58" s="278"/>
      <c r="J58" s="274"/>
      <c r="K58" s="278"/>
      <c r="L58" s="274"/>
      <c r="M58" s="278"/>
      <c r="N58" s="274"/>
      <c r="O58" s="278"/>
      <c r="P58" s="274"/>
      <c r="Q58" s="278"/>
      <c r="R58" s="274"/>
      <c r="S58" s="278"/>
      <c r="T58" s="274"/>
      <c r="U58" s="278"/>
      <c r="V58" s="274"/>
      <c r="W58" s="274"/>
      <c r="X58" s="274"/>
      <c r="Y58" s="274"/>
      <c r="Z58" s="274"/>
      <c r="AA58" s="278"/>
      <c r="AB58" s="681"/>
      <c r="AC58" s="278"/>
      <c r="AD58" s="278"/>
      <c r="AE58" s="1075"/>
      <c r="AF58" s="278"/>
      <c r="AG58" s="1260"/>
      <c r="AH58" s="374"/>
      <c r="AI58" s="541"/>
      <c r="AJ58" s="541"/>
      <c r="AK58" s="546"/>
      <c r="AL58" s="1610"/>
      <c r="AM58" s="1610"/>
    </row>
    <row r="59" spans="1:39" ht="15" customHeight="1">
      <c r="A59" s="35"/>
      <c r="B59" s="301" t="s">
        <v>459</v>
      </c>
      <c r="C59" s="301"/>
      <c r="D59" s="297"/>
      <c r="E59" s="278"/>
      <c r="F59" s="297"/>
      <c r="G59" s="278"/>
      <c r="H59" s="297"/>
      <c r="I59" s="278"/>
      <c r="J59" s="297"/>
      <c r="K59" s="278"/>
      <c r="L59" s="297"/>
      <c r="M59" s="278"/>
      <c r="N59" s="297"/>
      <c r="O59" s="278"/>
      <c r="P59" s="1310"/>
      <c r="Q59" s="278"/>
      <c r="R59" s="297"/>
      <c r="S59" s="278"/>
      <c r="T59" s="297"/>
      <c r="U59" s="278"/>
      <c r="V59" s="274"/>
      <c r="W59" s="274"/>
      <c r="X59" s="274"/>
      <c r="Y59" s="274"/>
      <c r="Z59" s="274"/>
      <c r="AA59" s="278"/>
      <c r="AB59" s="681"/>
      <c r="AC59" s="278"/>
      <c r="AD59" s="278"/>
      <c r="AE59" s="1075"/>
      <c r="AF59" s="278"/>
      <c r="AG59" s="1260"/>
      <c r="AH59" s="374"/>
      <c r="AI59" s="394"/>
      <c r="AJ59" s="541"/>
      <c r="AK59" s="546"/>
      <c r="AL59" s="1610"/>
      <c r="AM59" s="1610"/>
    </row>
    <row r="60" spans="1:39" s="1148" customFormat="1" ht="15" customHeight="1">
      <c r="A60" s="1145"/>
      <c r="B60" s="1257" t="s">
        <v>124</v>
      </c>
      <c r="C60" s="1233"/>
      <c r="D60" s="297">
        <v>655.1</v>
      </c>
      <c r="E60" s="1258"/>
      <c r="F60" s="297">
        <v>497.99999999999989</v>
      </c>
      <c r="G60" s="1227"/>
      <c r="H60" s="297">
        <v>873.8000000000003</v>
      </c>
      <c r="I60" s="1161"/>
      <c r="J60" s="297">
        <v>465.49999999999989</v>
      </c>
      <c r="K60" s="1146"/>
      <c r="L60" s="297">
        <v>2531.9999999999991</v>
      </c>
      <c r="M60" s="1146"/>
      <c r="N60" s="297">
        <v>398.40000000000055</v>
      </c>
      <c r="O60" s="1154"/>
      <c r="P60" s="297">
        <v>310.30000000000018</v>
      </c>
      <c r="Q60" s="1146"/>
      <c r="R60" s="297">
        <v>512</v>
      </c>
      <c r="S60" s="1146"/>
      <c r="T60" s="297">
        <v>758</v>
      </c>
      <c r="U60" s="1146"/>
      <c r="V60" s="297">
        <v>519.59999999999945</v>
      </c>
      <c r="W60" s="1146"/>
      <c r="X60" s="297">
        <f>$AC60-SUM($D60:V60)</f>
        <v>323.19999999999982</v>
      </c>
      <c r="Y60" s="1146"/>
      <c r="Z60" s="297"/>
      <c r="AA60" s="624"/>
      <c r="AB60" s="1153"/>
      <c r="AC60" s="542">
        <v>7845.9</v>
      </c>
      <c r="AD60" s="297"/>
      <c r="AE60" s="1857"/>
      <c r="AF60" s="542">
        <v>7807.6</v>
      </c>
      <c r="AG60" s="1243"/>
      <c r="AH60" s="1225"/>
      <c r="AI60" s="1225">
        <f>ROUND(SUM(+AC60-AF60),1)</f>
        <v>38.299999999999997</v>
      </c>
      <c r="AJ60" s="1225"/>
      <c r="AK60" s="1223">
        <f>ROUND(IF(AF60=0,0,AI60/ABS(AF60)),3)</f>
        <v>5.0000000000000001E-3</v>
      </c>
      <c r="AL60" s="1610"/>
      <c r="AM60" s="1610"/>
    </row>
    <row r="61" spans="1:39" ht="15" customHeight="1">
      <c r="A61" s="35"/>
      <c r="B61" s="395" t="s">
        <v>125</v>
      </c>
      <c r="C61" s="301"/>
      <c r="D61" s="297">
        <v>0.1</v>
      </c>
      <c r="E61" s="278"/>
      <c r="F61" s="297">
        <v>0</v>
      </c>
      <c r="G61" s="297"/>
      <c r="H61" s="297">
        <v>0.1</v>
      </c>
      <c r="I61" s="278"/>
      <c r="J61" s="297">
        <v>0.60000000000000009</v>
      </c>
      <c r="K61" s="565"/>
      <c r="L61" s="297">
        <v>0.19999999999999996</v>
      </c>
      <c r="M61" s="565"/>
      <c r="N61" s="297">
        <v>0.79999999999999982</v>
      </c>
      <c r="O61" s="565"/>
      <c r="P61" s="297">
        <v>0.30000000000000027</v>
      </c>
      <c r="Q61" s="565"/>
      <c r="R61" s="297">
        <v>0.19999999999999973</v>
      </c>
      <c r="S61" s="565"/>
      <c r="T61" s="297">
        <v>0.30000000000000027</v>
      </c>
      <c r="U61" s="565"/>
      <c r="V61" s="297">
        <v>0.19999999999999973</v>
      </c>
      <c r="W61" s="565"/>
      <c r="X61" s="297">
        <f>$AC61-SUM($D61:V61)</f>
        <v>0.20000000000000018</v>
      </c>
      <c r="Y61" s="565"/>
      <c r="Z61" s="297"/>
      <c r="AA61" s="274"/>
      <c r="AB61" s="534"/>
      <c r="AC61" s="542">
        <v>3</v>
      </c>
      <c r="AD61" s="297"/>
      <c r="AE61" s="1857"/>
      <c r="AF61" s="542">
        <v>0.8</v>
      </c>
      <c r="AG61" s="530"/>
      <c r="AH61" s="274"/>
      <c r="AI61" s="274">
        <f>ROUND(SUM(+AC61-AF61),1)</f>
        <v>2.2000000000000002</v>
      </c>
      <c r="AJ61" s="274"/>
      <c r="AK61" s="621">
        <f>ROUND(IF(AF61=0,1,AI61/ABS(AF61)),3)</f>
        <v>2.75</v>
      </c>
      <c r="AL61" s="1610"/>
      <c r="AM61" s="1610"/>
    </row>
    <row r="62" spans="1:39" ht="15" customHeight="1">
      <c r="A62" s="35"/>
      <c r="B62" s="395" t="s">
        <v>126</v>
      </c>
      <c r="C62" s="301"/>
      <c r="D62" s="297">
        <v>0.9</v>
      </c>
      <c r="E62" s="278"/>
      <c r="F62" s="297">
        <v>5.5</v>
      </c>
      <c r="G62" s="297"/>
      <c r="H62" s="297">
        <v>2.9000000000000004</v>
      </c>
      <c r="I62" s="278"/>
      <c r="J62" s="297">
        <v>1.1999999999999993</v>
      </c>
      <c r="K62" s="565"/>
      <c r="L62" s="297">
        <v>12.100000000000003</v>
      </c>
      <c r="M62" s="565"/>
      <c r="N62" s="297">
        <v>1.3999999999999986</v>
      </c>
      <c r="O62" s="565"/>
      <c r="P62" s="297">
        <v>2</v>
      </c>
      <c r="Q62" s="565"/>
      <c r="R62" s="297">
        <v>0.5</v>
      </c>
      <c r="S62" s="565"/>
      <c r="T62" s="297">
        <v>2.3999999999999986</v>
      </c>
      <c r="U62" s="565"/>
      <c r="V62" s="297">
        <v>4.8000000000000043</v>
      </c>
      <c r="W62" s="565"/>
      <c r="X62" s="297">
        <f>$AC62-SUM($D62:V62)</f>
        <v>17.899999999999999</v>
      </c>
      <c r="Y62" s="565"/>
      <c r="Z62" s="297"/>
      <c r="AA62" s="274"/>
      <c r="AB62" s="534"/>
      <c r="AC62" s="542">
        <v>51.6</v>
      </c>
      <c r="AD62" s="297"/>
      <c r="AE62" s="1857"/>
      <c r="AF62" s="542">
        <v>49.4</v>
      </c>
      <c r="AG62" s="530"/>
      <c r="AH62" s="274"/>
      <c r="AI62" s="274">
        <f>ROUND(SUM(+AC62-AF62),1)</f>
        <v>2.2000000000000002</v>
      </c>
      <c r="AJ62" s="274"/>
      <c r="AK62" s="276">
        <f>ROUND(IF(AF62=0,0,AI62/ABS(AF62)),3)</f>
        <v>4.4999999999999998E-2</v>
      </c>
      <c r="AL62" s="1610"/>
      <c r="AM62" s="1610"/>
    </row>
    <row r="63" spans="1:39" ht="15" customHeight="1">
      <c r="A63" s="35"/>
      <c r="B63" s="395" t="s">
        <v>127</v>
      </c>
      <c r="C63" s="301"/>
      <c r="D63" s="297" t="s">
        <v>103</v>
      </c>
      <c r="E63" s="278"/>
      <c r="F63" s="297"/>
      <c r="G63" s="297"/>
      <c r="H63" s="297"/>
      <c r="I63" s="278"/>
      <c r="J63" s="297"/>
      <c r="K63" s="565"/>
      <c r="L63" s="297"/>
      <c r="M63" s="565"/>
      <c r="N63" s="297"/>
      <c r="O63" s="565"/>
      <c r="P63" s="297"/>
      <c r="Q63" s="565"/>
      <c r="R63" s="297"/>
      <c r="S63" s="565"/>
      <c r="T63" s="297"/>
      <c r="U63" s="565"/>
      <c r="V63" s="297"/>
      <c r="W63" s="565"/>
      <c r="X63" s="297"/>
      <c r="Y63" s="565"/>
      <c r="Z63" s="297"/>
      <c r="AA63" s="274"/>
      <c r="AB63" s="534"/>
      <c r="AC63" s="523"/>
      <c r="AD63" s="297"/>
      <c r="AE63" s="1857"/>
      <c r="AF63" s="523"/>
      <c r="AG63" s="530"/>
      <c r="AH63" s="274"/>
      <c r="AI63" s="297"/>
      <c r="AJ63" s="394"/>
      <c r="AK63" s="546"/>
      <c r="AL63" s="1610"/>
      <c r="AM63" s="1610"/>
    </row>
    <row r="64" spans="1:39" ht="15" customHeight="1">
      <c r="A64" s="35"/>
      <c r="B64" s="1055" t="s">
        <v>128</v>
      </c>
      <c r="C64" s="301"/>
      <c r="D64" s="297">
        <v>3535.7</v>
      </c>
      <c r="E64" s="278"/>
      <c r="F64" s="297">
        <v>4667.0000000000009</v>
      </c>
      <c r="G64" s="297"/>
      <c r="H64" s="297">
        <v>4459.2999999999984</v>
      </c>
      <c r="I64" s="278"/>
      <c r="J64" s="297">
        <v>4813.5999999999995</v>
      </c>
      <c r="K64" s="565"/>
      <c r="L64" s="297">
        <v>3965.9000000000005</v>
      </c>
      <c r="M64" s="565"/>
      <c r="N64" s="297">
        <v>4451.7000000000016</v>
      </c>
      <c r="O64" s="565"/>
      <c r="P64" s="297">
        <v>5009.7999999999993</v>
      </c>
      <c r="Q64" s="565"/>
      <c r="R64" s="297">
        <v>4112.0999999999985</v>
      </c>
      <c r="S64" s="565"/>
      <c r="T64" s="297">
        <v>4170.5</v>
      </c>
      <c r="U64" s="565"/>
      <c r="V64" s="297">
        <v>3839.5</v>
      </c>
      <c r="W64" s="565"/>
      <c r="X64" s="297">
        <f>$AC64-SUM($D64:V64)</f>
        <v>5170</v>
      </c>
      <c r="Y64" s="565"/>
      <c r="Z64" s="297"/>
      <c r="AA64" s="274"/>
      <c r="AB64" s="534"/>
      <c r="AC64" s="542">
        <v>48195.1</v>
      </c>
      <c r="AD64" s="297"/>
      <c r="AE64" s="1857"/>
      <c r="AF64" s="542">
        <v>50103.1</v>
      </c>
      <c r="AG64" s="530"/>
      <c r="AH64" s="274"/>
      <c r="AI64" s="274">
        <f t="shared" ref="AI64:AI69" si="4">ROUND(SUM(+AC64-AF64),1)</f>
        <v>-1908</v>
      </c>
      <c r="AJ64" s="274"/>
      <c r="AK64" s="276">
        <f t="shared" ref="AK64:AK69" si="5">ROUND(IF(AF64=0,0,AI64/ABS(AF64)),3)</f>
        <v>-3.7999999999999999E-2</v>
      </c>
      <c r="AL64" s="1610"/>
      <c r="AM64" s="1610"/>
    </row>
    <row r="65" spans="1:39" ht="15" customHeight="1">
      <c r="A65" s="35"/>
      <c r="B65" s="395" t="s">
        <v>129</v>
      </c>
      <c r="C65" s="301"/>
      <c r="D65" s="297">
        <v>993.2</v>
      </c>
      <c r="E65" s="278"/>
      <c r="F65" s="297">
        <v>1075.4999999999998</v>
      </c>
      <c r="G65" s="297"/>
      <c r="H65" s="297">
        <v>1570.7</v>
      </c>
      <c r="I65" s="278"/>
      <c r="J65" s="297">
        <v>1107.9000000000003</v>
      </c>
      <c r="K65" s="565"/>
      <c r="L65" s="297">
        <v>1345.8999999999999</v>
      </c>
      <c r="M65" s="565"/>
      <c r="N65" s="297">
        <v>1394.3</v>
      </c>
      <c r="O65" s="565"/>
      <c r="P65" s="297">
        <v>1218.2999999999993</v>
      </c>
      <c r="Q65" s="565"/>
      <c r="R65" s="297">
        <v>1457.3000000000011</v>
      </c>
      <c r="S65" s="565"/>
      <c r="T65" s="297">
        <v>1417.6999999999989</v>
      </c>
      <c r="U65" s="565"/>
      <c r="V65" s="297">
        <v>1336.1000000000004</v>
      </c>
      <c r="W65" s="565"/>
      <c r="X65" s="297">
        <f>$AC65-SUM($D65:V65)</f>
        <v>1341.5</v>
      </c>
      <c r="Y65" s="565"/>
      <c r="Z65" s="297"/>
      <c r="AA65" s="274"/>
      <c r="AB65" s="534"/>
      <c r="AC65" s="542">
        <v>14258.4</v>
      </c>
      <c r="AD65" s="297"/>
      <c r="AE65" s="1857"/>
      <c r="AF65" s="542">
        <v>11174.1</v>
      </c>
      <c r="AG65" s="530"/>
      <c r="AH65" s="274"/>
      <c r="AI65" s="274">
        <f t="shared" si="4"/>
        <v>3084.3</v>
      </c>
      <c r="AJ65" s="274"/>
      <c r="AK65" s="276">
        <f t="shared" si="5"/>
        <v>0.27600000000000002</v>
      </c>
      <c r="AL65" s="1610"/>
      <c r="AM65" s="1610"/>
    </row>
    <row r="66" spans="1:39" ht="15" customHeight="1">
      <c r="A66" s="35"/>
      <c r="B66" s="395" t="s">
        <v>130</v>
      </c>
      <c r="C66" s="301"/>
      <c r="D66" s="297">
        <v>55.7</v>
      </c>
      <c r="E66" s="278"/>
      <c r="F66" s="297">
        <v>121.99999999999999</v>
      </c>
      <c r="G66" s="297"/>
      <c r="H66" s="297">
        <v>149.80000000000001</v>
      </c>
      <c r="I66" s="278"/>
      <c r="J66" s="297">
        <v>113.89999999999998</v>
      </c>
      <c r="K66" s="565"/>
      <c r="L66" s="297">
        <v>308.49999999999994</v>
      </c>
      <c r="M66" s="565"/>
      <c r="N66" s="297">
        <v>229.10000000000008</v>
      </c>
      <c r="O66" s="565"/>
      <c r="P66" s="297">
        <v>320.09999999999991</v>
      </c>
      <c r="Q66" s="565"/>
      <c r="R66" s="297">
        <v>367.90000000000009</v>
      </c>
      <c r="S66" s="565"/>
      <c r="T66" s="297">
        <v>1617.6999999999998</v>
      </c>
      <c r="U66" s="565"/>
      <c r="V66" s="297">
        <v>251</v>
      </c>
      <c r="W66" s="565"/>
      <c r="X66" s="297">
        <f>$AC66-SUM($D66:V66)</f>
        <v>205.5</v>
      </c>
      <c r="Y66" s="565"/>
      <c r="Z66" s="297"/>
      <c r="AA66" s="274"/>
      <c r="AB66" s="534"/>
      <c r="AC66" s="542">
        <v>3741.2</v>
      </c>
      <c r="AD66" s="297"/>
      <c r="AE66" s="1857"/>
      <c r="AF66" s="542">
        <v>4325.1000000000004</v>
      </c>
      <c r="AG66" s="530"/>
      <c r="AH66" s="274"/>
      <c r="AI66" s="274">
        <f t="shared" si="4"/>
        <v>-583.9</v>
      </c>
      <c r="AJ66" s="274"/>
      <c r="AK66" s="954">
        <f t="shared" si="5"/>
        <v>-0.13500000000000001</v>
      </c>
      <c r="AL66" s="1610"/>
      <c r="AM66" s="1610"/>
    </row>
    <row r="67" spans="1:39" ht="15" customHeight="1">
      <c r="A67" s="35"/>
      <c r="B67" s="395" t="s">
        <v>131</v>
      </c>
      <c r="C67" s="301"/>
      <c r="D67" s="297">
        <v>610</v>
      </c>
      <c r="E67" s="278"/>
      <c r="F67" s="297">
        <v>569.90000000000009</v>
      </c>
      <c r="G67" s="297"/>
      <c r="H67" s="297">
        <v>944.29999999999973</v>
      </c>
      <c r="I67" s="278"/>
      <c r="J67" s="297">
        <v>741.80000000000018</v>
      </c>
      <c r="K67" s="565"/>
      <c r="L67" s="297">
        <v>324.80000000000018</v>
      </c>
      <c r="M67" s="565"/>
      <c r="N67" s="297">
        <v>328.09999999999991</v>
      </c>
      <c r="O67" s="565"/>
      <c r="P67" s="297">
        <v>436.19999999999982</v>
      </c>
      <c r="Q67" s="565"/>
      <c r="R67" s="297">
        <v>419.79999999999973</v>
      </c>
      <c r="S67" s="565"/>
      <c r="T67" s="297">
        <v>280.90000000000055</v>
      </c>
      <c r="U67" s="565"/>
      <c r="V67" s="297">
        <v>265.19999999999982</v>
      </c>
      <c r="W67" s="565"/>
      <c r="X67" s="297">
        <f>$AC67-SUM($D67:V67)</f>
        <v>444.69999999999982</v>
      </c>
      <c r="Y67" s="565"/>
      <c r="Z67" s="297"/>
      <c r="AA67" s="274"/>
      <c r="AB67" s="534"/>
      <c r="AC67" s="542">
        <v>5365.7</v>
      </c>
      <c r="AD67" s="297"/>
      <c r="AE67" s="1857"/>
      <c r="AF67" s="542">
        <v>5401.9</v>
      </c>
      <c r="AG67" s="530"/>
      <c r="AH67" s="274"/>
      <c r="AI67" s="274">
        <f t="shared" si="4"/>
        <v>-36.200000000000003</v>
      </c>
      <c r="AJ67" s="274"/>
      <c r="AK67" s="276">
        <f t="shared" si="5"/>
        <v>-7.0000000000000001E-3</v>
      </c>
      <c r="AL67" s="1610"/>
      <c r="AM67" s="1610"/>
    </row>
    <row r="68" spans="1:39" ht="15" customHeight="1">
      <c r="A68" s="35"/>
      <c r="B68" s="395" t="s">
        <v>132</v>
      </c>
      <c r="C68" s="301"/>
      <c r="D68" s="297">
        <v>0</v>
      </c>
      <c r="E68" s="278"/>
      <c r="F68" s="297">
        <v>0</v>
      </c>
      <c r="G68" s="297"/>
      <c r="H68" s="297">
        <v>1.9</v>
      </c>
      <c r="I68" s="278"/>
      <c r="J68" s="297">
        <v>0.39999999999999991</v>
      </c>
      <c r="K68" s="565"/>
      <c r="L68" s="297">
        <v>0.80000000000000027</v>
      </c>
      <c r="M68" s="565"/>
      <c r="N68" s="297">
        <v>2.1999999999999997</v>
      </c>
      <c r="O68" s="565"/>
      <c r="P68" s="297">
        <v>0.20000000000000018</v>
      </c>
      <c r="Q68" s="565"/>
      <c r="R68" s="297">
        <v>0.40000000000000036</v>
      </c>
      <c r="S68" s="565"/>
      <c r="T68" s="297">
        <v>9.9999999999999645E-2</v>
      </c>
      <c r="U68" s="565"/>
      <c r="V68" s="297">
        <v>0.20000000000000018</v>
      </c>
      <c r="W68" s="565"/>
      <c r="X68" s="297">
        <f>$AC68-SUM($D68:V68)</f>
        <v>1.8999999999999995</v>
      </c>
      <c r="Y68" s="565"/>
      <c r="Z68" s="297"/>
      <c r="AA68" s="274"/>
      <c r="AB68" s="534"/>
      <c r="AC68" s="542">
        <v>8.1</v>
      </c>
      <c r="AD68" s="297"/>
      <c r="AE68" s="1857"/>
      <c r="AF68" s="542">
        <v>162.4</v>
      </c>
      <c r="AG68" s="530"/>
      <c r="AH68" s="274"/>
      <c r="AI68" s="274">
        <f t="shared" si="4"/>
        <v>-154.30000000000001</v>
      </c>
      <c r="AJ68" s="274"/>
      <c r="AK68" s="954">
        <f>ROUND(IF(AF68=0,1,AI68/ABS(AF68)),3)</f>
        <v>-0.95</v>
      </c>
      <c r="AL68" s="1610"/>
      <c r="AM68" s="1610"/>
    </row>
    <row r="69" spans="1:39" ht="15" customHeight="1">
      <c r="A69" s="35"/>
      <c r="B69" s="395" t="s">
        <v>133</v>
      </c>
      <c r="C69" s="301"/>
      <c r="D69" s="297">
        <v>9</v>
      </c>
      <c r="E69" s="278"/>
      <c r="F69" s="297">
        <v>2</v>
      </c>
      <c r="G69" s="297"/>
      <c r="H69" s="297">
        <v>11.399999999999999</v>
      </c>
      <c r="I69" s="278"/>
      <c r="J69" s="297">
        <v>7</v>
      </c>
      <c r="K69" s="565"/>
      <c r="L69" s="297">
        <v>14.899999999999999</v>
      </c>
      <c r="M69" s="565"/>
      <c r="N69" s="297">
        <v>-1.3999999999999986</v>
      </c>
      <c r="O69" s="565"/>
      <c r="P69" s="297">
        <v>9.7000000000000028</v>
      </c>
      <c r="Q69" s="565"/>
      <c r="R69" s="297">
        <v>8.1999999999999957</v>
      </c>
      <c r="S69" s="565"/>
      <c r="T69" s="297">
        <v>5.2000000000000028</v>
      </c>
      <c r="U69" s="565"/>
      <c r="V69" s="297">
        <v>9.7000000000000028</v>
      </c>
      <c r="W69" s="565"/>
      <c r="X69" s="297">
        <f>$AC69-SUM($D69:V69)</f>
        <v>9</v>
      </c>
      <c r="Y69" s="565"/>
      <c r="Z69" s="297"/>
      <c r="AA69" s="274"/>
      <c r="AB69" s="534"/>
      <c r="AC69" s="542">
        <v>84.7</v>
      </c>
      <c r="AD69" s="297"/>
      <c r="AE69" s="1857"/>
      <c r="AF69" s="542">
        <v>50.5</v>
      </c>
      <c r="AG69" s="530"/>
      <c r="AH69" s="274"/>
      <c r="AI69" s="274">
        <f t="shared" si="4"/>
        <v>34.200000000000003</v>
      </c>
      <c r="AJ69" s="274"/>
      <c r="AK69" s="544">
        <f t="shared" si="5"/>
        <v>0.67700000000000005</v>
      </c>
      <c r="AL69" s="1610"/>
      <c r="AM69" s="1610"/>
    </row>
    <row r="70" spans="1:39" ht="15" customHeight="1">
      <c r="A70" s="35"/>
      <c r="B70" s="3" t="s">
        <v>542</v>
      </c>
      <c r="C70" s="301"/>
      <c r="D70" s="630">
        <f>ROUND(SUM(D60:D69),2)</f>
        <v>5859.7</v>
      </c>
      <c r="E70" s="40"/>
      <c r="F70" s="630">
        <f>ROUND(SUM(F60:F69),2)</f>
        <v>6939.9</v>
      </c>
      <c r="G70" s="40"/>
      <c r="H70" s="630">
        <f>ROUND(SUM(H60:H69),2)</f>
        <v>8014.2</v>
      </c>
      <c r="I70" s="40"/>
      <c r="J70" s="630">
        <f>ROUND(SUM(J60:J69),2)</f>
        <v>7251.9</v>
      </c>
      <c r="K70" s="40"/>
      <c r="L70" s="630">
        <f>ROUND(SUM(L60:L69),2)</f>
        <v>8505.1</v>
      </c>
      <c r="M70" s="40"/>
      <c r="N70" s="630">
        <f>ROUND(SUM(N60:N69),2)</f>
        <v>6804.6</v>
      </c>
      <c r="O70" s="40"/>
      <c r="P70" s="630">
        <f>ROUND(SUM(P60:P69),2)</f>
        <v>7306.9</v>
      </c>
      <c r="Q70" s="40"/>
      <c r="R70" s="630">
        <f>ROUND(SUM(R60:R69),2)</f>
        <v>6878.4</v>
      </c>
      <c r="S70" s="13"/>
      <c r="T70" s="630">
        <f>ROUND(SUM(T60:T69),2)</f>
        <v>8252.7999999999993</v>
      </c>
      <c r="U70" s="40"/>
      <c r="V70" s="630">
        <f>ROUND(SUM(V60:V69),2)</f>
        <v>6226.3</v>
      </c>
      <c r="W70" s="13"/>
      <c r="X70" s="630">
        <f>ROUND(SUM(X60:X69),2)</f>
        <v>7513.9</v>
      </c>
      <c r="Y70" s="13"/>
      <c r="Z70" s="630">
        <f>ROUND(SUM(Z60:Z69),2)</f>
        <v>0</v>
      </c>
      <c r="AA70" s="40"/>
      <c r="AB70" s="682"/>
      <c r="AC70" s="687">
        <f>ROUND(SUM(AC60:AC69),2)</f>
        <v>79553.7</v>
      </c>
      <c r="AD70" s="13"/>
      <c r="AE70" s="683"/>
      <c r="AF70" s="687">
        <f>ROUND(SUM(AF60:AF69),2)</f>
        <v>79074.899999999994</v>
      </c>
      <c r="AG70" s="79"/>
      <c r="AH70" s="13"/>
      <c r="AI70" s="991">
        <f>ROUND(SUM(AC70-AF70),1)</f>
        <v>478.8</v>
      </c>
      <c r="AJ70" s="80"/>
      <c r="AK70" s="1076">
        <f>ROUND(SUM((AC70-AF70)/ABS(AF70)),3)</f>
        <v>6.0000000000000001E-3</v>
      </c>
      <c r="AL70" s="1610"/>
      <c r="AM70" s="1610"/>
    </row>
    <row r="71" spans="1:39" ht="15" customHeight="1">
      <c r="A71" s="35"/>
      <c r="B71" s="301" t="s">
        <v>461</v>
      </c>
      <c r="C71" s="301"/>
      <c r="D71" s="278"/>
      <c r="E71" s="278"/>
      <c r="F71" s="274"/>
      <c r="G71" s="278"/>
      <c r="H71" s="274"/>
      <c r="I71" s="278"/>
      <c r="J71" s="274"/>
      <c r="K71" s="278"/>
      <c r="L71" s="274"/>
      <c r="M71" s="278"/>
      <c r="N71" s="274"/>
      <c r="O71" s="278"/>
      <c r="P71" s="274"/>
      <c r="Q71" s="278"/>
      <c r="R71" s="274"/>
      <c r="S71" s="278"/>
      <c r="T71" s="274"/>
      <c r="U71" s="278"/>
      <c r="V71" s="274"/>
      <c r="W71" s="274"/>
      <c r="X71" s="274"/>
      <c r="Y71" s="274"/>
      <c r="Z71" s="274"/>
      <c r="AA71" s="278"/>
      <c r="AB71" s="681"/>
      <c r="AC71" s="278"/>
      <c r="AD71" s="278"/>
      <c r="AE71" s="1075"/>
      <c r="AF71" s="278"/>
      <c r="AG71" s="1260"/>
      <c r="AH71" s="374"/>
      <c r="AI71" s="541"/>
      <c r="AJ71" s="541"/>
      <c r="AK71" s="546"/>
      <c r="AL71" s="1610"/>
      <c r="AM71" s="1610"/>
    </row>
    <row r="72" spans="1:39" ht="15" customHeight="1">
      <c r="A72" s="35"/>
      <c r="B72" s="301" t="s">
        <v>462</v>
      </c>
      <c r="C72" s="301"/>
      <c r="D72" s="297">
        <v>61.5</v>
      </c>
      <c r="E72" s="278"/>
      <c r="F72" s="297">
        <v>61.599999999999994</v>
      </c>
      <c r="G72" s="278"/>
      <c r="H72" s="297">
        <v>57.400000000000006</v>
      </c>
      <c r="I72" s="278"/>
      <c r="J72" s="297">
        <v>80.099999999999966</v>
      </c>
      <c r="K72" s="565"/>
      <c r="L72" s="297">
        <v>61.900000000000034</v>
      </c>
      <c r="M72" s="565"/>
      <c r="N72" s="297">
        <v>56.199999999999989</v>
      </c>
      <c r="O72" s="565"/>
      <c r="P72" s="297">
        <v>77.800000000000011</v>
      </c>
      <c r="Q72" s="565"/>
      <c r="R72" s="297">
        <v>59.999000000000024</v>
      </c>
      <c r="S72" s="565"/>
      <c r="T72" s="297">
        <v>88.500999999999976</v>
      </c>
      <c r="U72" s="565"/>
      <c r="V72" s="297">
        <v>66.799999999999955</v>
      </c>
      <c r="W72" s="565"/>
      <c r="X72" s="297">
        <f>$AC72-SUM($D72:V72)</f>
        <v>62</v>
      </c>
      <c r="Y72" s="565"/>
      <c r="Z72" s="297"/>
      <c r="AA72" s="274"/>
      <c r="AB72" s="1366"/>
      <c r="AC72" s="542">
        <v>733.8</v>
      </c>
      <c r="AD72" s="297"/>
      <c r="AE72" s="1857"/>
      <c r="AF72" s="542">
        <v>706</v>
      </c>
      <c r="AG72" s="530"/>
      <c r="AH72" s="274"/>
      <c r="AI72" s="274">
        <f>ROUND(SUM(+AC72-AF72),1)</f>
        <v>27.8</v>
      </c>
      <c r="AJ72" s="274"/>
      <c r="AK72" s="276">
        <f>ROUND(IF(AF72=0,0,AI72/ABS(AF72)),3)</f>
        <v>3.9E-2</v>
      </c>
      <c r="AL72" s="1610"/>
      <c r="AM72" s="1610"/>
    </row>
    <row r="73" spans="1:39" ht="15" customHeight="1">
      <c r="A73" s="35"/>
      <c r="B73" s="301" t="s">
        <v>543</v>
      </c>
      <c r="C73" s="301"/>
      <c r="D73" s="297">
        <v>50</v>
      </c>
      <c r="E73" s="278"/>
      <c r="F73" s="297">
        <v>183.1</v>
      </c>
      <c r="G73" s="278"/>
      <c r="H73" s="297">
        <v>124.00000000000003</v>
      </c>
      <c r="I73" s="278"/>
      <c r="J73" s="297">
        <v>108.89999999999998</v>
      </c>
      <c r="K73" s="565"/>
      <c r="L73" s="297">
        <v>162.20000000000005</v>
      </c>
      <c r="M73" s="565"/>
      <c r="N73" s="297">
        <v>206.59999999999991</v>
      </c>
      <c r="O73" s="565"/>
      <c r="P73" s="297">
        <v>169.80000000000007</v>
      </c>
      <c r="Q73" s="565"/>
      <c r="R73" s="297">
        <v>600.69999999999993</v>
      </c>
      <c r="S73" s="565"/>
      <c r="T73" s="297">
        <v>150.29999999999995</v>
      </c>
      <c r="U73" s="565"/>
      <c r="V73" s="297">
        <v>196.70000000000005</v>
      </c>
      <c r="W73" s="565"/>
      <c r="X73" s="297">
        <f>$AC73-SUM($D73:V73)</f>
        <v>217.89999999999986</v>
      </c>
      <c r="Y73" s="565"/>
      <c r="Z73" s="297"/>
      <c r="AA73" s="274"/>
      <c r="AB73" s="1366"/>
      <c r="AC73" s="542">
        <v>2170.1999999999998</v>
      </c>
      <c r="AD73" s="297"/>
      <c r="AE73" s="1857"/>
      <c r="AF73" s="542">
        <v>2330.3000000000002</v>
      </c>
      <c r="AG73" s="530"/>
      <c r="AH73" s="274"/>
      <c r="AI73" s="274">
        <f>ROUND(SUM(+AC73-AF73),1)</f>
        <v>-160.1</v>
      </c>
      <c r="AJ73" s="274"/>
      <c r="AK73" s="276">
        <f>ROUND(IF(AF73=0,0,AI73/ABS(AF73)),3)</f>
        <v>-6.9000000000000006E-2</v>
      </c>
      <c r="AL73" s="1610"/>
      <c r="AM73" s="1610"/>
    </row>
    <row r="74" spans="1:39" ht="15" customHeight="1">
      <c r="A74" s="35"/>
      <c r="B74" s="301" t="s">
        <v>464</v>
      </c>
      <c r="C74" s="301"/>
      <c r="D74" s="297">
        <v>0.2</v>
      </c>
      <c r="E74" s="278"/>
      <c r="F74" s="297">
        <v>74.8</v>
      </c>
      <c r="G74" s="278"/>
      <c r="H74" s="297">
        <v>26</v>
      </c>
      <c r="I74" s="278"/>
      <c r="J74" s="297">
        <v>31.700000000000003</v>
      </c>
      <c r="K74" s="565"/>
      <c r="L74" s="297">
        <v>30.500000000000028</v>
      </c>
      <c r="M74" s="565"/>
      <c r="N74" s="297">
        <v>30.999999999999972</v>
      </c>
      <c r="O74" s="565"/>
      <c r="P74" s="297">
        <v>56.300000000000011</v>
      </c>
      <c r="Q74" s="565"/>
      <c r="R74" s="297">
        <v>40.399999999999977</v>
      </c>
      <c r="S74" s="565"/>
      <c r="T74" s="297">
        <v>28.600000000000023</v>
      </c>
      <c r="U74" s="565"/>
      <c r="V74" s="297">
        <v>32.699999999999989</v>
      </c>
      <c r="W74" s="565"/>
      <c r="X74" s="297">
        <f>$AC74-SUM($D74:V74)</f>
        <v>31.800000000000011</v>
      </c>
      <c r="Y74" s="565"/>
      <c r="Z74" s="297"/>
      <c r="AA74" s="274"/>
      <c r="AB74" s="1366"/>
      <c r="AC74" s="542">
        <v>384</v>
      </c>
      <c r="AD74" s="297"/>
      <c r="AE74" s="1857"/>
      <c r="AF74" s="542">
        <v>378.4</v>
      </c>
      <c r="AG74" s="530"/>
      <c r="AH74" s="274"/>
      <c r="AI74" s="274">
        <f>ROUND(SUM(+AC74-AF74),1)</f>
        <v>5.6</v>
      </c>
      <c r="AJ74" s="274"/>
      <c r="AK74" s="276">
        <f>ROUND(IF(AF74=0,1,AI74/ABS(AF74)),3)</f>
        <v>1.4999999999999999E-2</v>
      </c>
      <c r="AL74" s="1610"/>
      <c r="AM74" s="1610"/>
    </row>
    <row r="75" spans="1:39" ht="15" customHeight="1">
      <c r="A75" s="35"/>
      <c r="B75" s="66" t="s">
        <v>520</v>
      </c>
      <c r="C75" s="301"/>
      <c r="D75" s="297" t="s">
        <v>103</v>
      </c>
      <c r="E75" s="278"/>
      <c r="F75" s="297"/>
      <c r="G75" s="278"/>
      <c r="H75" s="297"/>
      <c r="I75" s="278"/>
      <c r="J75" s="297"/>
      <c r="K75" s="565"/>
      <c r="L75" s="297"/>
      <c r="M75" s="565"/>
      <c r="N75" s="297"/>
      <c r="O75" s="565"/>
      <c r="P75" s="297"/>
      <c r="Q75" s="565"/>
      <c r="R75" s="297"/>
      <c r="S75" s="565"/>
      <c r="T75" s="297"/>
      <c r="U75" s="565"/>
      <c r="V75" s="297"/>
      <c r="W75" s="565"/>
      <c r="X75" s="297"/>
      <c r="Y75" s="565"/>
      <c r="Z75" s="297"/>
      <c r="AA75" s="274"/>
      <c r="AB75" s="534"/>
      <c r="AC75" s="542" t="s">
        <v>103</v>
      </c>
      <c r="AD75" s="274"/>
      <c r="AE75" s="535"/>
      <c r="AF75" s="542" t="s">
        <v>103</v>
      </c>
      <c r="AG75" s="530"/>
      <c r="AH75" s="274"/>
      <c r="AI75" s="274"/>
      <c r="AJ75" s="274"/>
      <c r="AK75" s="276"/>
      <c r="AL75" s="1610"/>
      <c r="AM75" s="1610"/>
    </row>
    <row r="76" spans="1:39" ht="15" customHeight="1">
      <c r="A76" s="35"/>
      <c r="B76" s="66" t="s">
        <v>1519</v>
      </c>
      <c r="C76" s="301"/>
      <c r="D76" s="297">
        <v>0</v>
      </c>
      <c r="E76" s="278"/>
      <c r="F76" s="297">
        <v>0</v>
      </c>
      <c r="G76" s="278"/>
      <c r="H76" s="297">
        <v>0</v>
      </c>
      <c r="I76" s="278"/>
      <c r="J76" s="297">
        <v>0</v>
      </c>
      <c r="K76" s="565"/>
      <c r="L76" s="297">
        <v>0</v>
      </c>
      <c r="M76" s="565"/>
      <c r="N76" s="297">
        <v>0</v>
      </c>
      <c r="O76" s="565"/>
      <c r="P76" s="297">
        <v>0</v>
      </c>
      <c r="Q76" s="565"/>
      <c r="R76" s="297">
        <v>0</v>
      </c>
      <c r="S76" s="565"/>
      <c r="T76" s="297">
        <v>0</v>
      </c>
      <c r="U76" s="565"/>
      <c r="V76" s="297">
        <v>0</v>
      </c>
      <c r="W76" s="565"/>
      <c r="X76" s="297">
        <f>$AC76-SUM($D76:V76)</f>
        <v>0</v>
      </c>
      <c r="Y76" s="565"/>
      <c r="Z76" s="297"/>
      <c r="AA76" s="274"/>
      <c r="AB76" s="534"/>
      <c r="AC76" s="542">
        <v>0</v>
      </c>
      <c r="AD76" s="297"/>
      <c r="AE76" s="1857"/>
      <c r="AF76" s="542">
        <v>0</v>
      </c>
      <c r="AG76" s="530"/>
      <c r="AH76" s="274"/>
      <c r="AI76" s="274">
        <f>ROUND(SUM(+AC76-AF76),1)</f>
        <v>0</v>
      </c>
      <c r="AJ76" s="274"/>
      <c r="AK76" s="276">
        <f>ROUND(IF(AF76=0,0,AI76/ABS(AF76)),3)</f>
        <v>0</v>
      </c>
      <c r="AL76" s="1610"/>
      <c r="AM76" s="1610"/>
    </row>
    <row r="77" spans="1:39" ht="15" customHeight="1">
      <c r="A77" s="35"/>
      <c r="B77" s="301" t="s">
        <v>544</v>
      </c>
      <c r="C77" s="301"/>
      <c r="D77" s="297">
        <v>0</v>
      </c>
      <c r="E77" s="278"/>
      <c r="F77" s="297">
        <v>0</v>
      </c>
      <c r="G77" s="278"/>
      <c r="H77" s="297">
        <v>0</v>
      </c>
      <c r="I77" s="278"/>
      <c r="J77" s="297">
        <v>0</v>
      </c>
      <c r="K77" s="565"/>
      <c r="L77" s="297">
        <v>0</v>
      </c>
      <c r="M77" s="565"/>
      <c r="N77" s="297">
        <v>0</v>
      </c>
      <c r="O77" s="565"/>
      <c r="P77" s="297">
        <v>0</v>
      </c>
      <c r="Q77" s="565"/>
      <c r="R77" s="297">
        <v>0</v>
      </c>
      <c r="S77" s="565"/>
      <c r="T77" s="297">
        <v>0</v>
      </c>
      <c r="U77" s="565"/>
      <c r="V77" s="297">
        <v>0</v>
      </c>
      <c r="W77" s="565"/>
      <c r="X77" s="297">
        <f>$AC77-SUM($D77:V77)</f>
        <v>0</v>
      </c>
      <c r="Y77" s="565"/>
      <c r="Z77" s="297"/>
      <c r="AA77" s="274"/>
      <c r="AB77" s="534"/>
      <c r="AC77" s="542">
        <v>0</v>
      </c>
      <c r="AD77" s="297"/>
      <c r="AE77" s="1857"/>
      <c r="AF77" s="542">
        <v>0</v>
      </c>
      <c r="AG77" s="530"/>
      <c r="AH77" s="274"/>
      <c r="AI77" s="274">
        <f>ROUND(SUM(+AC77-AF77),1)</f>
        <v>0</v>
      </c>
      <c r="AJ77" s="274"/>
      <c r="AK77" s="544">
        <f>ROUND(IF(AF77=0,0,AI77/ABS(AF77)),3)</f>
        <v>0</v>
      </c>
      <c r="AL77" s="1610"/>
      <c r="AM77" s="1610"/>
    </row>
    <row r="78" spans="1:39" ht="15" customHeight="1">
      <c r="A78" s="35"/>
      <c r="B78" s="301"/>
      <c r="C78" s="301"/>
      <c r="D78" s="1057"/>
      <c r="E78" s="278"/>
      <c r="F78" s="629"/>
      <c r="G78" s="278"/>
      <c r="H78" s="629"/>
      <c r="I78" s="278"/>
      <c r="J78" s="629"/>
      <c r="K78" s="278"/>
      <c r="L78" s="629"/>
      <c r="M78" s="278"/>
      <c r="N78" s="629"/>
      <c r="O78" s="278"/>
      <c r="P78" s="629"/>
      <c r="Q78" s="278"/>
      <c r="R78" s="629"/>
      <c r="S78" s="278"/>
      <c r="T78" s="629"/>
      <c r="U78" s="278"/>
      <c r="V78" s="629"/>
      <c r="W78" s="274"/>
      <c r="X78" s="629"/>
      <c r="Y78" s="274"/>
      <c r="Z78" s="629"/>
      <c r="AA78" s="278"/>
      <c r="AB78" s="681"/>
      <c r="AC78" s="629"/>
      <c r="AD78" s="274"/>
      <c r="AE78" s="535"/>
      <c r="AF78" s="629"/>
      <c r="AG78" s="530"/>
      <c r="AH78" s="274"/>
      <c r="AI78" s="629"/>
      <c r="AJ78" s="541"/>
      <c r="AK78" s="293"/>
      <c r="AL78" s="1610"/>
      <c r="AM78" s="1610"/>
    </row>
    <row r="79" spans="1:39" ht="15" customHeight="1">
      <c r="A79" s="35"/>
      <c r="B79" s="3" t="s">
        <v>465</v>
      </c>
      <c r="C79" s="301"/>
      <c r="D79" s="13">
        <f>ROUND(SUM(D70:D77),1)</f>
        <v>5971.4</v>
      </c>
      <c r="E79" s="40"/>
      <c r="F79" s="13">
        <f>ROUND(SUM(F70:F77),1)</f>
        <v>7259.4</v>
      </c>
      <c r="G79" s="40"/>
      <c r="H79" s="13">
        <f>ROUND(SUM(H70:H77),1)</f>
        <v>8221.6</v>
      </c>
      <c r="I79" s="40"/>
      <c r="J79" s="13">
        <f>ROUND(SUM(J70:J77),1)</f>
        <v>7472.6</v>
      </c>
      <c r="K79" s="40"/>
      <c r="L79" s="13">
        <f>ROUND(SUM(L70:L77),1)</f>
        <v>8759.7000000000007</v>
      </c>
      <c r="M79" s="40"/>
      <c r="N79" s="13">
        <f>ROUND(SUM(N70:N77),1)</f>
        <v>7098.4</v>
      </c>
      <c r="O79" s="40"/>
      <c r="P79" s="13">
        <f>ROUND(SUM(P70:P77),1)</f>
        <v>7610.8</v>
      </c>
      <c r="Q79" s="40"/>
      <c r="R79" s="13">
        <f>ROUND(SUM(R70:R77),1)</f>
        <v>7579.5</v>
      </c>
      <c r="S79" s="13"/>
      <c r="T79" s="13">
        <f>ROUND(SUM(T70:T77),1)</f>
        <v>8520.2000000000007</v>
      </c>
      <c r="U79" s="40"/>
      <c r="V79" s="13">
        <f>ROUND(SUM(V70:V77),1)</f>
        <v>6522.5</v>
      </c>
      <c r="W79" s="13"/>
      <c r="X79" s="13">
        <f>ROUND(SUM(X70:X77),1)</f>
        <v>7825.6</v>
      </c>
      <c r="Y79" s="13"/>
      <c r="Z79" s="13">
        <f>ROUND(SUM(Z70:Z77),1)</f>
        <v>0</v>
      </c>
      <c r="AA79" s="40"/>
      <c r="AB79" s="682"/>
      <c r="AC79" s="13">
        <f>ROUND(SUM(AC70:AC77),1)</f>
        <v>82841.7</v>
      </c>
      <c r="AD79" s="13"/>
      <c r="AE79" s="683"/>
      <c r="AF79" s="13">
        <f>ROUND(SUM(AF70:AF77),1)</f>
        <v>82489.600000000006</v>
      </c>
      <c r="AG79" s="79"/>
      <c r="AH79" s="13"/>
      <c r="AI79" s="1011">
        <f>ROUND(SUM(AC79-AF79),1)</f>
        <v>352.1</v>
      </c>
      <c r="AJ79" s="702"/>
      <c r="AK79" s="547">
        <f>ROUND(SUM((AC79-AF79)/ABS(AF79)),3)</f>
        <v>4.0000000000000001E-3</v>
      </c>
      <c r="AL79" s="1610"/>
      <c r="AM79" s="1610"/>
    </row>
    <row r="80" spans="1:39" ht="15" customHeight="1">
      <c r="A80" s="35"/>
      <c r="B80" s="301"/>
      <c r="C80" s="301"/>
      <c r="D80" s="1057"/>
      <c r="E80" s="278"/>
      <c r="F80" s="629"/>
      <c r="G80" s="278"/>
      <c r="H80" s="629"/>
      <c r="I80" s="278"/>
      <c r="J80" s="629"/>
      <c r="K80" s="278"/>
      <c r="L80" s="629"/>
      <c r="M80" s="278"/>
      <c r="N80" s="629"/>
      <c r="O80" s="278"/>
      <c r="P80" s="629"/>
      <c r="Q80" s="278"/>
      <c r="R80" s="629"/>
      <c r="S80" s="278"/>
      <c r="T80" s="629"/>
      <c r="U80" s="278"/>
      <c r="V80" s="629"/>
      <c r="W80" s="274"/>
      <c r="X80" s="629"/>
      <c r="Y80" s="274"/>
      <c r="Z80" s="629"/>
      <c r="AA80" s="278"/>
      <c r="AB80" s="681"/>
      <c r="AC80" s="629"/>
      <c r="AD80" s="274"/>
      <c r="AE80" s="535"/>
      <c r="AF80" s="629"/>
      <c r="AG80" s="530"/>
      <c r="AH80" s="433"/>
      <c r="AI80" s="297"/>
      <c r="AJ80" s="541"/>
      <c r="AK80" s="546"/>
      <c r="AL80" s="1610"/>
      <c r="AM80" s="1610"/>
    </row>
    <row r="81" spans="1:48" ht="15" customHeight="1">
      <c r="A81" s="35"/>
      <c r="B81" s="3" t="s">
        <v>466</v>
      </c>
      <c r="C81" s="301"/>
      <c r="D81" s="278"/>
      <c r="E81" s="278"/>
      <c r="F81" s="274"/>
      <c r="G81" s="278"/>
      <c r="H81" s="274"/>
      <c r="I81" s="278"/>
      <c r="J81" s="274"/>
      <c r="K81" s="278"/>
      <c r="L81" s="274"/>
      <c r="M81" s="278"/>
      <c r="N81" s="274"/>
      <c r="O81" s="278"/>
      <c r="P81" s="274"/>
      <c r="Q81" s="278"/>
      <c r="R81" s="274"/>
      <c r="S81" s="278"/>
      <c r="T81" s="274"/>
      <c r="U81" s="278"/>
      <c r="V81" s="274"/>
      <c r="W81" s="274"/>
      <c r="X81" s="274"/>
      <c r="Y81" s="274"/>
      <c r="Z81" s="274"/>
      <c r="AA81" s="278"/>
      <c r="AB81" s="681"/>
      <c r="AC81" s="274"/>
      <c r="AD81" s="1264"/>
      <c r="AE81" s="1873"/>
      <c r="AF81" s="274"/>
      <c r="AG81" s="530"/>
      <c r="AH81" s="433"/>
      <c r="AI81" s="297"/>
      <c r="AJ81" s="541"/>
      <c r="AK81" s="546"/>
      <c r="AL81" s="1610"/>
      <c r="AM81" s="1610"/>
    </row>
    <row r="82" spans="1:48" ht="15" customHeight="1">
      <c r="A82" s="35"/>
      <c r="B82" s="3" t="s">
        <v>144</v>
      </c>
      <c r="C82" s="301"/>
      <c r="D82" s="13">
        <f>ROUND(SUM(D56-D79),1)</f>
        <v>2149.1999999999998</v>
      </c>
      <c r="E82" s="40"/>
      <c r="F82" s="13">
        <f>ROUND(SUM(F56-F79),1)</f>
        <v>262.3</v>
      </c>
      <c r="G82" s="40"/>
      <c r="H82" s="13">
        <f>ROUND(SUM(H56-H79),1)</f>
        <v>-411.7</v>
      </c>
      <c r="I82" s="40"/>
      <c r="J82" s="13">
        <f>ROUND(SUM(J56-J79),1)</f>
        <v>-213</v>
      </c>
      <c r="K82" s="40"/>
      <c r="L82" s="13">
        <f>ROUND(SUM(L56-L79),1)</f>
        <v>1178.5</v>
      </c>
      <c r="M82" s="40"/>
      <c r="N82" s="13">
        <f>ROUND(SUM(N56-N79),1)</f>
        <v>440.5</v>
      </c>
      <c r="O82" s="40"/>
      <c r="P82" s="13">
        <f>ROUND(SUM(P56-P79),1)</f>
        <v>-173.8</v>
      </c>
      <c r="Q82" s="40"/>
      <c r="R82" s="13">
        <f>ROUND(SUM(R56-R79),1)</f>
        <v>387.2</v>
      </c>
      <c r="S82" s="13"/>
      <c r="T82" s="13">
        <f>ROUND(SUM(T56-T79),1)</f>
        <v>-3437</v>
      </c>
      <c r="U82" s="40"/>
      <c r="V82" s="13">
        <f>ROUND(SUM(V56-V79),1)</f>
        <v>-152.30000000000001</v>
      </c>
      <c r="W82" s="13"/>
      <c r="X82" s="13">
        <f>ROUND(SUM(X56-X79),1)</f>
        <v>2022.8</v>
      </c>
      <c r="Y82" s="13"/>
      <c r="Z82" s="13">
        <f>ROUND(SUM(Z56-Z79),1)</f>
        <v>0</v>
      </c>
      <c r="AA82" s="40"/>
      <c r="AB82" s="682"/>
      <c r="AC82" s="13">
        <f>ROUND(SUM(AC56-AC79),1)</f>
        <v>2052.6999999999998</v>
      </c>
      <c r="AD82" s="13"/>
      <c r="AE82" s="683"/>
      <c r="AF82" s="13">
        <f>ROUND(SUM(AF56-AF79),1)</f>
        <v>3111</v>
      </c>
      <c r="AG82" s="79"/>
      <c r="AH82" s="13"/>
      <c r="AI82" s="1011">
        <f>ROUND(SUM(AC82-AF82),1)</f>
        <v>-1058.3</v>
      </c>
      <c r="AJ82" s="702"/>
      <c r="AK82" s="1078">
        <f>ROUND(SUM((AC82-AF82)/ABS(AF82)),3)</f>
        <v>-0.34</v>
      </c>
      <c r="AL82" s="1610"/>
      <c r="AM82" s="1610"/>
    </row>
    <row r="83" spans="1:48" ht="15" customHeight="1">
      <c r="A83" s="35"/>
      <c r="B83" s="301"/>
      <c r="C83" s="301"/>
      <c r="D83" s="1057"/>
      <c r="E83" s="278"/>
      <c r="F83" s="629"/>
      <c r="G83" s="278"/>
      <c r="H83" s="629"/>
      <c r="I83" s="278"/>
      <c r="J83" s="629"/>
      <c r="K83" s="278"/>
      <c r="L83" s="629"/>
      <c r="M83" s="278"/>
      <c r="N83" s="629"/>
      <c r="O83" s="278"/>
      <c r="P83" s="629"/>
      <c r="Q83" s="278"/>
      <c r="R83" s="629"/>
      <c r="S83" s="278"/>
      <c r="T83" s="629"/>
      <c r="U83" s="278"/>
      <c r="V83" s="629"/>
      <c r="W83" s="274"/>
      <c r="X83" s="629"/>
      <c r="Y83" s="274"/>
      <c r="Z83" s="629"/>
      <c r="AA83" s="278"/>
      <c r="AB83" s="681"/>
      <c r="AC83" s="629"/>
      <c r="AD83" s="274"/>
      <c r="AE83" s="535"/>
      <c r="AF83" s="629"/>
      <c r="AG83" s="530"/>
      <c r="AH83" s="274"/>
      <c r="AI83" s="297"/>
      <c r="AJ83" s="541"/>
      <c r="AK83" s="546"/>
      <c r="AL83" s="1610"/>
      <c r="AM83" s="1610"/>
    </row>
    <row r="84" spans="1:48" ht="15" customHeight="1">
      <c r="A84" s="35"/>
      <c r="B84" s="3" t="s">
        <v>145</v>
      </c>
      <c r="C84" s="301"/>
      <c r="D84" s="278"/>
      <c r="E84" s="278"/>
      <c r="F84" s="274"/>
      <c r="G84" s="278"/>
      <c r="H84" s="274"/>
      <c r="I84" s="278"/>
      <c r="J84" s="274"/>
      <c r="K84" s="278"/>
      <c r="L84" s="274"/>
      <c r="M84" s="278"/>
      <c r="N84" s="274"/>
      <c r="O84" s="278"/>
      <c r="P84" s="274"/>
      <c r="Q84" s="278"/>
      <c r="R84" s="274"/>
      <c r="S84" s="278"/>
      <c r="T84" s="274"/>
      <c r="U84" s="278"/>
      <c r="V84" s="274"/>
      <c r="W84" s="274"/>
      <c r="X84" s="274"/>
      <c r="Y84" s="274"/>
      <c r="Z84" s="274"/>
      <c r="AA84" s="278"/>
      <c r="AB84" s="681"/>
      <c r="AC84" s="274"/>
      <c r="AD84" s="274"/>
      <c r="AE84" s="535"/>
      <c r="AF84" s="274"/>
      <c r="AG84" s="530"/>
      <c r="AH84" s="274"/>
      <c r="AI84" s="297"/>
      <c r="AJ84" s="541"/>
      <c r="AK84" s="546"/>
      <c r="AL84" s="1610"/>
      <c r="AM84" s="1610"/>
    </row>
    <row r="85" spans="1:48" ht="15" customHeight="1">
      <c r="A85" s="35"/>
      <c r="B85" s="301" t="s">
        <v>545</v>
      </c>
      <c r="C85" s="301"/>
      <c r="D85" s="297">
        <v>0</v>
      </c>
      <c r="E85" s="278"/>
      <c r="F85" s="297">
        <v>0</v>
      </c>
      <c r="G85" s="278"/>
      <c r="H85" s="297">
        <v>0</v>
      </c>
      <c r="I85" s="278"/>
      <c r="J85" s="297">
        <v>0</v>
      </c>
      <c r="K85" s="565"/>
      <c r="L85" s="297">
        <v>0</v>
      </c>
      <c r="M85" s="565"/>
      <c r="N85" s="297">
        <v>0</v>
      </c>
      <c r="O85" s="565"/>
      <c r="P85" s="297">
        <v>0</v>
      </c>
      <c r="Q85" s="565"/>
      <c r="R85" s="297">
        <v>0</v>
      </c>
      <c r="S85" s="565"/>
      <c r="T85" s="297">
        <v>0</v>
      </c>
      <c r="U85" s="565"/>
      <c r="V85" s="297">
        <v>0</v>
      </c>
      <c r="W85" s="565"/>
      <c r="X85" s="297">
        <f>$AC85-SUM($D85:V85)</f>
        <v>0</v>
      </c>
      <c r="Y85" s="565"/>
      <c r="Z85" s="297"/>
      <c r="AA85" s="274"/>
      <c r="AB85" s="534"/>
      <c r="AC85" s="542">
        <v>0</v>
      </c>
      <c r="AD85" s="274"/>
      <c r="AE85" s="535"/>
      <c r="AF85" s="542">
        <v>0</v>
      </c>
      <c r="AG85" s="530"/>
      <c r="AH85" s="274"/>
      <c r="AI85" s="299">
        <f>ROUND(SUM(+AC85-AF85),1)</f>
        <v>0</v>
      </c>
      <c r="AJ85" s="274"/>
      <c r="AK85" s="276">
        <f>-ROUND(IF(AF85=0,0,AI85/ABS(AF85)),3)</f>
        <v>0</v>
      </c>
      <c r="AL85" s="1610"/>
      <c r="AM85" s="1610"/>
    </row>
    <row r="86" spans="1:48" ht="15" customHeight="1">
      <c r="A86" s="35"/>
      <c r="B86" s="301" t="s">
        <v>546</v>
      </c>
      <c r="C86" s="301"/>
      <c r="D86" s="297">
        <v>-278.5</v>
      </c>
      <c r="E86" s="278"/>
      <c r="F86" s="297">
        <v>-170.10000000000002</v>
      </c>
      <c r="G86" s="278"/>
      <c r="H86" s="297">
        <v>-421.5</v>
      </c>
      <c r="I86" s="278"/>
      <c r="J86" s="297">
        <v>-104.10000000000002</v>
      </c>
      <c r="K86" s="565"/>
      <c r="L86" s="297">
        <v>-196.59999999999991</v>
      </c>
      <c r="M86" s="565"/>
      <c r="N86" s="297">
        <v>-61.900000000000091</v>
      </c>
      <c r="O86" s="565"/>
      <c r="P86" s="297">
        <v>-251.09999999999991</v>
      </c>
      <c r="Q86" s="565"/>
      <c r="R86" s="297">
        <v>-106.10000000000014</v>
      </c>
      <c r="S86" s="565"/>
      <c r="T86" s="297">
        <v>-123.19999999999982</v>
      </c>
      <c r="U86" s="565"/>
      <c r="V86" s="297">
        <v>-978.09999999999991</v>
      </c>
      <c r="W86" s="565"/>
      <c r="X86" s="297">
        <f>$AC86-SUM($D86:V86)</f>
        <v>-724.5</v>
      </c>
      <c r="Y86" s="565"/>
      <c r="Z86" s="297"/>
      <c r="AA86" s="274"/>
      <c r="AB86" s="534"/>
      <c r="AC86" s="542">
        <v>-3415.7</v>
      </c>
      <c r="AD86" s="297"/>
      <c r="AE86" s="1857"/>
      <c r="AF86" s="1012">
        <v>-2099.5</v>
      </c>
      <c r="AG86" s="530"/>
      <c r="AH86" s="274"/>
      <c r="AI86" s="274">
        <f>ROUND(SUM(+AC86-AF86)*-1,1)</f>
        <v>1316.2</v>
      </c>
      <c r="AJ86" s="274"/>
      <c r="AK86" s="276">
        <f>ROUND(IF(AF86=0,0,AI86/ABS(AF86)),3)</f>
        <v>0.627</v>
      </c>
      <c r="AL86" s="1610"/>
      <c r="AM86" s="1610"/>
    </row>
    <row r="87" spans="1:48" ht="15" customHeight="1">
      <c r="A87" s="35"/>
      <c r="B87" s="301"/>
      <c r="C87" s="301"/>
      <c r="D87" s="1057"/>
      <c r="E87" s="278"/>
      <c r="F87" s="629"/>
      <c r="G87" s="278"/>
      <c r="H87" s="629"/>
      <c r="I87" s="278"/>
      <c r="J87" s="629"/>
      <c r="K87" s="278"/>
      <c r="L87" s="629"/>
      <c r="M87" s="278"/>
      <c r="N87" s="629"/>
      <c r="O87" s="278"/>
      <c r="P87" s="629"/>
      <c r="Q87" s="278"/>
      <c r="R87" s="629"/>
      <c r="S87" s="278"/>
      <c r="T87" s="629"/>
      <c r="U87" s="278"/>
      <c r="V87" s="629"/>
      <c r="W87" s="274"/>
      <c r="X87" s="629"/>
      <c r="Y87" s="274"/>
      <c r="Z87" s="629"/>
      <c r="AA87" s="278"/>
      <c r="AB87" s="681"/>
      <c r="AC87" s="629"/>
      <c r="AD87" s="274"/>
      <c r="AE87" s="535"/>
      <c r="AF87" s="274"/>
      <c r="AG87" s="530"/>
      <c r="AH87" s="274"/>
      <c r="AI87" s="1077"/>
      <c r="AJ87" s="541"/>
      <c r="AK87" s="1079"/>
      <c r="AL87" s="1610"/>
      <c r="AM87" s="1610"/>
    </row>
    <row r="88" spans="1:48" ht="15" customHeight="1">
      <c r="A88" s="35"/>
      <c r="B88" s="3" t="s">
        <v>525</v>
      </c>
      <c r="C88" s="301"/>
      <c r="D88" s="13">
        <f>ROUND(SUM(D85:D87),1)</f>
        <v>-278.5</v>
      </c>
      <c r="E88" s="40"/>
      <c r="F88" s="13">
        <f>ROUND(SUM(F85:F87),1)</f>
        <v>-170.1</v>
      </c>
      <c r="G88" s="40"/>
      <c r="H88" s="13">
        <f>ROUND(SUM(H85:H87),1)</f>
        <v>-421.5</v>
      </c>
      <c r="I88" s="40"/>
      <c r="J88" s="13">
        <f>ROUND(SUM(J85:J87),1)</f>
        <v>-104.1</v>
      </c>
      <c r="K88" s="40"/>
      <c r="L88" s="13">
        <f>ROUND(SUM(L85:L87),1)</f>
        <v>-196.6</v>
      </c>
      <c r="M88" s="40"/>
      <c r="N88" s="13">
        <f>ROUND(SUM(N85:N87),1)</f>
        <v>-61.9</v>
      </c>
      <c r="O88" s="40"/>
      <c r="P88" s="13">
        <f>ROUND(SUM(P85:P87),1)</f>
        <v>-251.1</v>
      </c>
      <c r="Q88" s="40"/>
      <c r="R88" s="13">
        <f>ROUND(SUM(R85:R87),1)</f>
        <v>-106.1</v>
      </c>
      <c r="S88" s="13"/>
      <c r="T88" s="13">
        <f>ROUND(SUM(T85:T87),1)</f>
        <v>-123.2</v>
      </c>
      <c r="U88" s="40"/>
      <c r="V88" s="13">
        <f>ROUND(SUM(V85:V87),1)</f>
        <v>-978.1</v>
      </c>
      <c r="W88" s="13"/>
      <c r="X88" s="13">
        <f>ROUND(SUM(X85:X87),1)</f>
        <v>-724.5</v>
      </c>
      <c r="Y88" s="13"/>
      <c r="Z88" s="13">
        <f>ROUND(SUM(Z85:Z87),1)</f>
        <v>0</v>
      </c>
      <c r="AA88" s="40"/>
      <c r="AB88" s="682"/>
      <c r="AC88" s="13">
        <f>ROUND(SUM(AC85:AC87),1)</f>
        <v>-3415.7</v>
      </c>
      <c r="AD88" s="13"/>
      <c r="AE88" s="683"/>
      <c r="AF88" s="13">
        <f>ROUND(SUM(AF85:AF86),1)</f>
        <v>-2099.5</v>
      </c>
      <c r="AG88" s="79"/>
      <c r="AH88" s="13"/>
      <c r="AI88" s="1011">
        <f>-ROUND(SUM(AC88-AF88),1)</f>
        <v>1316.2</v>
      </c>
      <c r="AJ88" s="80"/>
      <c r="AK88" s="547">
        <f>ROUND(SUM((AC88-AF88)/(AF88)),3)</f>
        <v>0.627</v>
      </c>
      <c r="AL88" s="1610"/>
      <c r="AM88" s="1610"/>
    </row>
    <row r="89" spans="1:48" ht="15" customHeight="1">
      <c r="A89" s="35"/>
      <c r="B89" s="301"/>
      <c r="C89" s="301"/>
      <c r="D89" s="1057"/>
      <c r="E89" s="278"/>
      <c r="F89" s="1057"/>
      <c r="G89" s="278"/>
      <c r="H89" s="1057"/>
      <c r="I89" s="278"/>
      <c r="J89" s="1057"/>
      <c r="K89" s="278"/>
      <c r="L89" s="1057"/>
      <c r="M89" s="278"/>
      <c r="N89" s="1057"/>
      <c r="O89" s="278"/>
      <c r="P89" s="1057"/>
      <c r="Q89" s="278"/>
      <c r="R89" s="1057"/>
      <c r="S89" s="278"/>
      <c r="T89" s="1057"/>
      <c r="U89" s="278"/>
      <c r="V89" s="629"/>
      <c r="W89" s="274"/>
      <c r="X89" s="629"/>
      <c r="Y89" s="274"/>
      <c r="Z89" s="629"/>
      <c r="AA89" s="278"/>
      <c r="AB89" s="681"/>
      <c r="AC89" s="629"/>
      <c r="AD89" s="274"/>
      <c r="AE89" s="535"/>
      <c r="AF89" s="629"/>
      <c r="AG89" s="530"/>
      <c r="AH89" s="274"/>
      <c r="AI89" s="297"/>
      <c r="AJ89" s="541"/>
      <c r="AK89" s="546"/>
      <c r="AL89" s="1610"/>
      <c r="AM89" s="1610"/>
    </row>
    <row r="90" spans="1:48" ht="15" customHeight="1">
      <c r="A90" s="35"/>
      <c r="B90" s="3" t="s">
        <v>477</v>
      </c>
      <c r="C90" s="301"/>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681"/>
      <c r="AC90" s="278"/>
      <c r="AD90" s="278"/>
      <c r="AE90" s="1075"/>
      <c r="AF90" s="278"/>
      <c r="AG90" s="1260"/>
      <c r="AH90" s="374"/>
      <c r="AI90" s="541"/>
      <c r="AJ90" s="541"/>
      <c r="AK90" s="546"/>
      <c r="AL90" s="1610"/>
      <c r="AM90" s="1610"/>
    </row>
    <row r="91" spans="1:48" ht="15" customHeight="1">
      <c r="A91" s="35"/>
      <c r="B91" s="3" t="s">
        <v>478</v>
      </c>
      <c r="C91" s="301"/>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681"/>
      <c r="AC91" s="278"/>
      <c r="AD91" s="278"/>
      <c r="AE91" s="1075"/>
      <c r="AF91" s="20"/>
      <c r="AG91" s="1260"/>
      <c r="AH91" s="374"/>
      <c r="AI91" s="541"/>
      <c r="AJ91" s="541"/>
      <c r="AK91" s="546"/>
      <c r="AL91" s="1610"/>
      <c r="AM91" s="1610"/>
    </row>
    <row r="92" spans="1:48" ht="15" customHeight="1">
      <c r="A92" s="35"/>
      <c r="B92" s="3" t="s">
        <v>526</v>
      </c>
      <c r="C92" s="301"/>
      <c r="D92" s="367">
        <f>ROUND(SUM(D82+D88),1)</f>
        <v>1870.7</v>
      </c>
      <c r="E92" s="278"/>
      <c r="F92" s="367">
        <f>ROUND(SUM(F82+F88),1)</f>
        <v>92.2</v>
      </c>
      <c r="G92" s="278"/>
      <c r="H92" s="367">
        <f>ROUND(SUM(H82+H88),1)</f>
        <v>-833.2</v>
      </c>
      <c r="I92" s="274"/>
      <c r="J92" s="367">
        <f>ROUND(SUM(J82+J88),1)</f>
        <v>-317.10000000000002</v>
      </c>
      <c r="K92" s="274"/>
      <c r="L92" s="367">
        <f>ROUND(SUM(L82+L88),1)</f>
        <v>981.9</v>
      </c>
      <c r="M92" s="274"/>
      <c r="N92" s="367">
        <f>ROUND(SUM(N82+N88),1)</f>
        <v>378.6</v>
      </c>
      <c r="O92" s="274"/>
      <c r="P92" s="367">
        <f>ROUND(SUM(P82+P88),1)</f>
        <v>-424.9</v>
      </c>
      <c r="Q92" s="274"/>
      <c r="R92" s="367">
        <f>ROUND(SUM(R82+R88),1)</f>
        <v>281.10000000000002</v>
      </c>
      <c r="S92" s="274"/>
      <c r="T92" s="367">
        <f>ROUND(SUM(T82+T88),1)</f>
        <v>-3560.2</v>
      </c>
      <c r="U92" s="274"/>
      <c r="V92" s="367">
        <f>ROUND(SUM(V82+V88),1)</f>
        <v>-1130.4000000000001</v>
      </c>
      <c r="W92" s="274"/>
      <c r="X92" s="367">
        <f>ROUND(SUM(X82+X88),1)</f>
        <v>1298.3</v>
      </c>
      <c r="Y92" s="274"/>
      <c r="Z92" s="367">
        <f>ROUND(SUM(Z82+Z88),1)</f>
        <v>0</v>
      </c>
      <c r="AA92" s="1264"/>
      <c r="AB92" s="274"/>
      <c r="AC92" s="367">
        <f>ROUND(SUM(AC82+AC88),1)</f>
        <v>-1363</v>
      </c>
      <c r="AD92" s="1874"/>
      <c r="AE92" s="274"/>
      <c r="AF92" s="367">
        <f>ROUND(SUM(AF82+AF88),1)</f>
        <v>1011.5</v>
      </c>
      <c r="AG92" s="1260"/>
      <c r="AH92" s="274"/>
      <c r="AI92" s="367">
        <f>ROUND(SUM(AI82-AI88),1)</f>
        <v>-2374.5</v>
      </c>
      <c r="AJ92" s="297"/>
      <c r="AK92" s="625">
        <f>ROUND(SUM((AC92-AF92)/ABS(AF92)),3)</f>
        <v>-2.3479999999999999</v>
      </c>
      <c r="AL92" s="1610"/>
      <c r="AM92" s="1610"/>
    </row>
    <row r="93" spans="1:48" ht="15" customHeight="1">
      <c r="A93" s="35"/>
      <c r="B93" s="301"/>
      <c r="C93" s="301"/>
      <c r="D93" s="374"/>
      <c r="E93" s="374"/>
      <c r="F93" s="374"/>
      <c r="G93" s="374"/>
      <c r="H93" s="374"/>
      <c r="I93" s="374"/>
      <c r="J93" s="374"/>
      <c r="K93" s="374"/>
      <c r="L93" s="374"/>
      <c r="M93" s="374"/>
      <c r="N93" s="374"/>
      <c r="O93" s="374"/>
      <c r="P93" s="374"/>
      <c r="Q93" s="374"/>
      <c r="R93" s="374"/>
      <c r="S93" s="374"/>
      <c r="T93" s="20"/>
      <c r="U93" s="374"/>
      <c r="V93" s="374"/>
      <c r="W93" s="374"/>
      <c r="X93" s="374"/>
      <c r="Y93" s="374"/>
      <c r="Z93" s="374"/>
      <c r="AA93" s="374"/>
      <c r="AB93" s="1075"/>
      <c r="AC93" s="374"/>
      <c r="AD93" s="374"/>
      <c r="AE93" s="1075"/>
      <c r="AF93" s="374"/>
      <c r="AG93" s="374"/>
      <c r="AH93" s="1059"/>
      <c r="AI93" s="541"/>
      <c r="AJ93" s="541"/>
      <c r="AK93" s="546" t="s">
        <v>103</v>
      </c>
      <c r="AL93" s="1610"/>
      <c r="AM93" s="1610"/>
    </row>
    <row r="94" spans="1:48" ht="20.25" customHeight="1" thickBot="1">
      <c r="A94" s="35"/>
      <c r="B94" s="3" t="s">
        <v>540</v>
      </c>
      <c r="C94" s="301"/>
      <c r="D94" s="74">
        <f>ROUND(SUM(+D13+D92),1)</f>
        <v>13023.7</v>
      </c>
      <c r="E94" s="374"/>
      <c r="F94" s="74">
        <f>ROUND(SUM(+F13+F92),1)</f>
        <v>13115.9</v>
      </c>
      <c r="G94" s="374"/>
      <c r="H94" s="74">
        <f>ROUND(SUM(+H13+H92),1)</f>
        <v>12282.7</v>
      </c>
      <c r="I94" s="374"/>
      <c r="J94" s="74">
        <f>ROUND(SUM(+J13+J92),1)</f>
        <v>11965.6</v>
      </c>
      <c r="K94" s="374"/>
      <c r="L94" s="74">
        <f>ROUND(SUM(+L13+L92),1)</f>
        <v>12947.5</v>
      </c>
      <c r="M94" s="374"/>
      <c r="N94" s="74">
        <f>ROUND(SUM(+N13+N92),1)</f>
        <v>13326.1</v>
      </c>
      <c r="O94" s="374"/>
      <c r="P94" s="74">
        <f>ROUND(SUM(+P13+P92),1)</f>
        <v>12901.2</v>
      </c>
      <c r="Q94" s="374"/>
      <c r="R94" s="74">
        <f>ROUND(SUM(+R13+R92),1)</f>
        <v>13182.3</v>
      </c>
      <c r="S94" s="374"/>
      <c r="T94" s="74">
        <f>ROUND(SUM(+T13+T92),1)</f>
        <v>9622.1</v>
      </c>
      <c r="U94" s="374"/>
      <c r="V94" s="74">
        <f>ROUND(SUM(+V13+V92),1)</f>
        <v>8491.7000000000007</v>
      </c>
      <c r="W94" s="374"/>
      <c r="X94" s="74">
        <f>ROUND(SUM(+X13+X92),1)</f>
        <v>9790</v>
      </c>
      <c r="Y94" s="374"/>
      <c r="Z94" s="74">
        <f>ROUND(SUM(+Z13+Z92),1)</f>
        <v>0</v>
      </c>
      <c r="AA94" s="374"/>
      <c r="AB94" s="1075"/>
      <c r="AC94" s="74">
        <f>ROUND(SUM(+AC13+AC92),1)</f>
        <v>9790</v>
      </c>
      <c r="AD94" s="374"/>
      <c r="AE94" s="1075"/>
      <c r="AF94" s="74">
        <f>ROUND(SUM(+AF13+AF92),1)</f>
        <v>15837.9</v>
      </c>
      <c r="AG94" s="374"/>
      <c r="AH94" s="1059"/>
      <c r="AI94" s="74">
        <f>ROUND(SUM(+AI13+AI92),1)</f>
        <v>-6047.9</v>
      </c>
      <c r="AJ94" s="541"/>
      <c r="AK94" s="1080">
        <f>ROUND(+AI94/ABS(AF94),3)</f>
        <v>-0.38200000000000001</v>
      </c>
      <c r="AL94" s="1610"/>
      <c r="AM94" s="1610"/>
    </row>
    <row r="95" spans="1:48" ht="15" customHeight="1" thickTop="1">
      <c r="B95" s="374"/>
      <c r="C95" s="374"/>
      <c r="D95" s="416"/>
      <c r="E95" s="416"/>
      <c r="F95" s="416"/>
      <c r="G95" s="416"/>
      <c r="H95" s="416"/>
      <c r="I95" s="416"/>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293"/>
      <c r="AN95" s="83"/>
      <c r="AO95" s="83"/>
      <c r="AP95" s="83"/>
      <c r="AQ95" s="83"/>
      <c r="AR95" s="83"/>
      <c r="AS95" s="83"/>
      <c r="AT95" s="83"/>
      <c r="AU95" s="83"/>
      <c r="AV95" s="83"/>
    </row>
    <row r="96" spans="1:48" ht="15" customHeight="1">
      <c r="B96" s="374"/>
      <c r="C96" s="374"/>
      <c r="D96" s="374"/>
      <c r="E96" s="374"/>
      <c r="F96" s="374"/>
      <c r="G96" s="374"/>
      <c r="H96" s="374"/>
      <c r="I96" s="374"/>
      <c r="J96" s="374"/>
      <c r="K96" s="374"/>
      <c r="L96" s="374"/>
      <c r="M96" s="374"/>
      <c r="N96" s="374"/>
      <c r="O96" s="374"/>
      <c r="P96" s="374"/>
      <c r="Q96" s="374"/>
      <c r="R96" s="374"/>
      <c r="S96" s="374"/>
      <c r="T96" s="374"/>
      <c r="U96" s="374"/>
      <c r="V96" s="374"/>
      <c r="W96" s="374"/>
      <c r="X96" s="374"/>
      <c r="Y96" s="374"/>
      <c r="Z96" s="374"/>
      <c r="AA96" s="374"/>
      <c r="AB96" s="374"/>
      <c r="AC96" s="374"/>
      <c r="AD96" s="374"/>
      <c r="AE96" s="374"/>
      <c r="AF96" s="374"/>
      <c r="AG96" s="374"/>
      <c r="AH96" s="374"/>
      <c r="AI96" s="374"/>
      <c r="AJ96" s="374"/>
      <c r="AK96" s="293"/>
    </row>
    <row r="97" spans="2:2" ht="15" customHeight="1">
      <c r="B97" s="374"/>
    </row>
    <row r="98" spans="2:2" ht="15" customHeight="1">
      <c r="B98" s="374"/>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80" workbookViewId="0"/>
  </sheetViews>
  <sheetFormatPr defaultRowHeight="12.5"/>
  <cols>
    <col min="1" max="1" width="40.4609375" style="85" customWidth="1"/>
    <col min="2" max="2" width="10.4609375" style="85" customWidth="1"/>
    <col min="3" max="3" width="1.07421875" style="85" customWidth="1"/>
    <col min="4" max="4" width="10" style="85" customWidth="1"/>
    <col min="5" max="5" width="1.07421875" style="85" customWidth="1"/>
    <col min="6" max="6" width="9.69140625" style="737" bestFit="1" customWidth="1"/>
    <col min="7" max="7" width="1.07421875" style="85" customWidth="1"/>
    <col min="8" max="8" width="10" style="85" customWidth="1"/>
    <col min="9" max="9" width="1.07421875" style="85" customWidth="1"/>
    <col min="10" max="10" width="10" style="85" bestFit="1" customWidth="1"/>
    <col min="11" max="11" width="1.07421875" style="85" customWidth="1"/>
    <col min="12" max="12" width="11.07421875" style="85" customWidth="1"/>
    <col min="13" max="13" width="1.07421875" style="85" customWidth="1"/>
    <col min="14" max="14" width="10.69140625" style="85" customWidth="1"/>
    <col min="15" max="15" width="1.69140625" style="85" customWidth="1"/>
    <col min="16" max="16" width="11" style="85" customWidth="1"/>
    <col min="17" max="17" width="1.07421875" style="85" customWidth="1"/>
    <col min="18" max="18" width="10.69140625" style="85" customWidth="1"/>
    <col min="19" max="19" width="1.07421875" style="85" customWidth="1"/>
    <col min="20" max="20" width="10" style="85" customWidth="1"/>
    <col min="21" max="21" width="1.07421875" style="85" customWidth="1"/>
    <col min="22" max="22" width="12.69140625" style="85" customWidth="1"/>
    <col min="23" max="23" width="1.07421875" style="85" customWidth="1"/>
    <col min="24" max="24" width="11.07421875" style="85" bestFit="1" customWidth="1"/>
    <col min="25" max="26" width="0.69140625" style="85" customWidth="1"/>
    <col min="27" max="27" width="10.53515625" style="85" customWidth="1"/>
    <col min="28" max="29" width="0.69140625" style="85" customWidth="1"/>
    <col min="30" max="30" width="10.53515625" style="85" customWidth="1"/>
    <col min="31" max="32" width="0.69140625" style="85" customWidth="1"/>
    <col min="33" max="33" width="10.53515625" style="85" customWidth="1"/>
    <col min="34" max="34" width="1.07421875" style="85" customWidth="1"/>
    <col min="35" max="35" width="10.53515625" style="85" customWidth="1"/>
    <col min="36" max="36" width="14.53515625" style="738" customWidth="1"/>
    <col min="37" max="37" width="9.07421875" style="85" bestFit="1" customWidth="1"/>
    <col min="38" max="39" width="7" style="85" customWidth="1"/>
    <col min="40" max="250" width="8.69140625" style="85"/>
    <col min="251" max="251" width="38.4609375" style="85" customWidth="1"/>
    <col min="252" max="252" width="8.53515625" style="85" customWidth="1"/>
    <col min="253" max="253" width="1.07421875" style="85" customWidth="1"/>
    <col min="254" max="254" width="8.69140625" style="85" customWidth="1"/>
    <col min="255" max="255" width="1.07421875" style="85" customWidth="1"/>
    <col min="256" max="256" width="9.07421875" style="85" customWidth="1"/>
    <col min="257" max="257" width="1.07421875" style="85" customWidth="1"/>
    <col min="258" max="258" width="10" style="85" customWidth="1"/>
    <col min="259" max="259" width="1.07421875" style="85" customWidth="1"/>
    <col min="260" max="260" width="9.07421875" style="85" customWidth="1"/>
    <col min="261" max="261" width="1.07421875" style="85" customWidth="1"/>
    <col min="262" max="262" width="11.07421875" style="85" customWidth="1"/>
    <col min="263" max="263" width="1.07421875" style="85" customWidth="1"/>
    <col min="264" max="264" width="9.07421875" style="85" customWidth="1"/>
    <col min="265" max="265" width="1.69140625" style="85" customWidth="1"/>
    <col min="266" max="266" width="11" style="85" customWidth="1"/>
    <col min="267" max="267" width="1.07421875" style="85" customWidth="1"/>
    <col min="268" max="268" width="10.69140625" style="85" customWidth="1"/>
    <col min="269" max="269" width="1.07421875" style="85" customWidth="1"/>
    <col min="270" max="270" width="10" style="85" customWidth="1"/>
    <col min="271" max="271" width="1.07421875" style="85" customWidth="1"/>
    <col min="272" max="272" width="9.07421875" style="85" customWidth="1"/>
    <col min="273" max="273" width="1.07421875" style="85" customWidth="1"/>
    <col min="274" max="274" width="7.69140625" style="85" customWidth="1"/>
    <col min="275" max="275" width="1.07421875" style="85" customWidth="1"/>
    <col min="276" max="276" width="0.69140625" style="85" customWidth="1"/>
    <col min="277" max="277" width="9.07421875" style="85" customWidth="1"/>
    <col min="278" max="278" width="1.07421875" style="85" customWidth="1"/>
    <col min="279" max="279" width="0.69140625" style="85" customWidth="1"/>
    <col min="280" max="280" width="9.53515625" style="85" bestFit="1" customWidth="1"/>
    <col min="281" max="282" width="0.69140625" style="85" customWidth="1"/>
    <col min="283" max="283" width="9.69140625" style="85" customWidth="1"/>
    <col min="284" max="284" width="1.07421875" style="85" customWidth="1"/>
    <col min="285" max="285" width="8.53515625" style="85" customWidth="1"/>
    <col min="286" max="286" width="14.53515625" style="85" customWidth="1"/>
    <col min="287" max="287" width="10" style="85" customWidth="1"/>
    <col min="288" max="288" width="7.69140625" style="85" bestFit="1" customWidth="1"/>
    <col min="289" max="289" width="9.69140625" style="85" customWidth="1"/>
    <col min="290" max="506" width="8.69140625" style="85"/>
    <col min="507" max="507" width="38.4609375" style="85" customWidth="1"/>
    <col min="508" max="508" width="8.53515625" style="85" customWidth="1"/>
    <col min="509" max="509" width="1.07421875" style="85" customWidth="1"/>
    <col min="510" max="510" width="8.69140625" style="85" customWidth="1"/>
    <col min="511" max="511" width="1.07421875" style="85" customWidth="1"/>
    <col min="512" max="512" width="9.07421875" style="85" customWidth="1"/>
    <col min="513" max="513" width="1.07421875" style="85" customWidth="1"/>
    <col min="514" max="514" width="10" style="85" customWidth="1"/>
    <col min="515" max="515" width="1.07421875" style="85" customWidth="1"/>
    <col min="516" max="516" width="9.07421875" style="85" customWidth="1"/>
    <col min="517" max="517" width="1.07421875" style="85" customWidth="1"/>
    <col min="518" max="518" width="11.07421875" style="85" customWidth="1"/>
    <col min="519" max="519" width="1.07421875" style="85" customWidth="1"/>
    <col min="520" max="520" width="9.07421875" style="85" customWidth="1"/>
    <col min="521" max="521" width="1.69140625" style="85" customWidth="1"/>
    <col min="522" max="522" width="11" style="85" customWidth="1"/>
    <col min="523" max="523" width="1.07421875" style="85" customWidth="1"/>
    <col min="524" max="524" width="10.69140625" style="85" customWidth="1"/>
    <col min="525" max="525" width="1.07421875" style="85" customWidth="1"/>
    <col min="526" max="526" width="10" style="85" customWidth="1"/>
    <col min="527" max="527" width="1.07421875" style="85" customWidth="1"/>
    <col min="528" max="528" width="9.07421875" style="85" customWidth="1"/>
    <col min="529" max="529" width="1.07421875" style="85" customWidth="1"/>
    <col min="530" max="530" width="7.69140625" style="85" customWidth="1"/>
    <col min="531" max="531" width="1.07421875" style="85" customWidth="1"/>
    <col min="532" max="532" width="0.69140625" style="85" customWidth="1"/>
    <col min="533" max="533" width="9.07421875" style="85" customWidth="1"/>
    <col min="534" max="534" width="1.07421875" style="85" customWidth="1"/>
    <col min="535" max="535" width="0.69140625" style="85" customWidth="1"/>
    <col min="536" max="536" width="9.53515625" style="85" bestFit="1" customWidth="1"/>
    <col min="537" max="538" width="0.69140625" style="85" customWidth="1"/>
    <col min="539" max="539" width="9.69140625" style="85" customWidth="1"/>
    <col min="540" max="540" width="1.07421875" style="85" customWidth="1"/>
    <col min="541" max="541" width="8.53515625" style="85" customWidth="1"/>
    <col min="542" max="542" width="14.53515625" style="85" customWidth="1"/>
    <col min="543" max="543" width="10" style="85" customWidth="1"/>
    <col min="544" max="544" width="7.69140625" style="85" bestFit="1" customWidth="1"/>
    <col min="545" max="545" width="9.69140625" style="85" customWidth="1"/>
    <col min="546" max="762" width="8.69140625" style="85"/>
    <col min="763" max="763" width="38.4609375" style="85" customWidth="1"/>
    <col min="764" max="764" width="8.53515625" style="85" customWidth="1"/>
    <col min="765" max="765" width="1.07421875" style="85" customWidth="1"/>
    <col min="766" max="766" width="8.69140625" style="85" customWidth="1"/>
    <col min="767" max="767" width="1.07421875" style="85" customWidth="1"/>
    <col min="768" max="768" width="9.07421875" style="85" customWidth="1"/>
    <col min="769" max="769" width="1.07421875" style="85" customWidth="1"/>
    <col min="770" max="770" width="10" style="85" customWidth="1"/>
    <col min="771" max="771" width="1.07421875" style="85" customWidth="1"/>
    <col min="772" max="772" width="9.07421875" style="85" customWidth="1"/>
    <col min="773" max="773" width="1.07421875" style="85" customWidth="1"/>
    <col min="774" max="774" width="11.07421875" style="85" customWidth="1"/>
    <col min="775" max="775" width="1.07421875" style="85" customWidth="1"/>
    <col min="776" max="776" width="9.07421875" style="85" customWidth="1"/>
    <col min="777" max="777" width="1.69140625" style="85" customWidth="1"/>
    <col min="778" max="778" width="11" style="85" customWidth="1"/>
    <col min="779" max="779" width="1.07421875" style="85" customWidth="1"/>
    <col min="780" max="780" width="10.69140625" style="85" customWidth="1"/>
    <col min="781" max="781" width="1.07421875" style="85" customWidth="1"/>
    <col min="782" max="782" width="10" style="85" customWidth="1"/>
    <col min="783" max="783" width="1.07421875" style="85" customWidth="1"/>
    <col min="784" max="784" width="9.07421875" style="85" customWidth="1"/>
    <col min="785" max="785" width="1.07421875" style="85" customWidth="1"/>
    <col min="786" max="786" width="7.69140625" style="85" customWidth="1"/>
    <col min="787" max="787" width="1.07421875" style="85" customWidth="1"/>
    <col min="788" max="788" width="0.69140625" style="85" customWidth="1"/>
    <col min="789" max="789" width="9.07421875" style="85" customWidth="1"/>
    <col min="790" max="790" width="1.07421875" style="85" customWidth="1"/>
    <col min="791" max="791" width="0.69140625" style="85" customWidth="1"/>
    <col min="792" max="792" width="9.53515625" style="85" bestFit="1" customWidth="1"/>
    <col min="793" max="794" width="0.69140625" style="85" customWidth="1"/>
    <col min="795" max="795" width="9.69140625" style="85" customWidth="1"/>
    <col min="796" max="796" width="1.07421875" style="85" customWidth="1"/>
    <col min="797" max="797" width="8.53515625" style="85" customWidth="1"/>
    <col min="798" max="798" width="14.53515625" style="85" customWidth="1"/>
    <col min="799" max="799" width="10" style="85" customWidth="1"/>
    <col min="800" max="800" width="7.69140625" style="85" bestFit="1" customWidth="1"/>
    <col min="801" max="801" width="9.69140625" style="85" customWidth="1"/>
    <col min="802" max="1018" width="8.69140625" style="85"/>
    <col min="1019" max="1019" width="38.4609375" style="85" customWidth="1"/>
    <col min="1020" max="1020" width="8.53515625" style="85" customWidth="1"/>
    <col min="1021" max="1021" width="1.07421875" style="85" customWidth="1"/>
    <col min="1022" max="1022" width="8.69140625" style="85" customWidth="1"/>
    <col min="1023" max="1023" width="1.07421875" style="85" customWidth="1"/>
    <col min="1024" max="1024" width="9.07421875" style="85" customWidth="1"/>
    <col min="1025" max="1025" width="1.07421875" style="85" customWidth="1"/>
    <col min="1026" max="1026" width="10" style="85" customWidth="1"/>
    <col min="1027" max="1027" width="1.07421875" style="85" customWidth="1"/>
    <col min="1028" max="1028" width="9.07421875" style="85" customWidth="1"/>
    <col min="1029" max="1029" width="1.07421875" style="85" customWidth="1"/>
    <col min="1030" max="1030" width="11.07421875" style="85" customWidth="1"/>
    <col min="1031" max="1031" width="1.07421875" style="85" customWidth="1"/>
    <col min="1032" max="1032" width="9.07421875" style="85" customWidth="1"/>
    <col min="1033" max="1033" width="1.69140625" style="85" customWidth="1"/>
    <col min="1034" max="1034" width="11" style="85" customWidth="1"/>
    <col min="1035" max="1035" width="1.07421875" style="85" customWidth="1"/>
    <col min="1036" max="1036" width="10.69140625" style="85" customWidth="1"/>
    <col min="1037" max="1037" width="1.07421875" style="85" customWidth="1"/>
    <col min="1038" max="1038" width="10" style="85" customWidth="1"/>
    <col min="1039" max="1039" width="1.07421875" style="85" customWidth="1"/>
    <col min="1040" max="1040" width="9.07421875" style="85" customWidth="1"/>
    <col min="1041" max="1041" width="1.07421875" style="85" customWidth="1"/>
    <col min="1042" max="1042" width="7.69140625" style="85" customWidth="1"/>
    <col min="1043" max="1043" width="1.07421875" style="85" customWidth="1"/>
    <col min="1044" max="1044" width="0.69140625" style="85" customWidth="1"/>
    <col min="1045" max="1045" width="9.07421875" style="85" customWidth="1"/>
    <col min="1046" max="1046" width="1.07421875" style="85" customWidth="1"/>
    <col min="1047" max="1047" width="0.69140625" style="85" customWidth="1"/>
    <col min="1048" max="1048" width="9.53515625" style="85" bestFit="1" customWidth="1"/>
    <col min="1049" max="1050" width="0.69140625" style="85" customWidth="1"/>
    <col min="1051" max="1051" width="9.69140625" style="85" customWidth="1"/>
    <col min="1052" max="1052" width="1.07421875" style="85" customWidth="1"/>
    <col min="1053" max="1053" width="8.53515625" style="85" customWidth="1"/>
    <col min="1054" max="1054" width="14.53515625" style="85" customWidth="1"/>
    <col min="1055" max="1055" width="10" style="85" customWidth="1"/>
    <col min="1056" max="1056" width="7.69140625" style="85" bestFit="1" customWidth="1"/>
    <col min="1057" max="1057" width="9.69140625" style="85" customWidth="1"/>
    <col min="1058" max="1274" width="8.69140625" style="85"/>
    <col min="1275" max="1275" width="38.4609375" style="85" customWidth="1"/>
    <col min="1276" max="1276" width="8.53515625" style="85" customWidth="1"/>
    <col min="1277" max="1277" width="1.07421875" style="85" customWidth="1"/>
    <col min="1278" max="1278" width="8.69140625" style="85" customWidth="1"/>
    <col min="1279" max="1279" width="1.07421875" style="85" customWidth="1"/>
    <col min="1280" max="1280" width="9.07421875" style="85" customWidth="1"/>
    <col min="1281" max="1281" width="1.07421875" style="85" customWidth="1"/>
    <col min="1282" max="1282" width="10" style="85" customWidth="1"/>
    <col min="1283" max="1283" width="1.07421875" style="85" customWidth="1"/>
    <col min="1284" max="1284" width="9.07421875" style="85" customWidth="1"/>
    <col min="1285" max="1285" width="1.07421875" style="85" customWidth="1"/>
    <col min="1286" max="1286" width="11.07421875" style="85" customWidth="1"/>
    <col min="1287" max="1287" width="1.07421875" style="85" customWidth="1"/>
    <col min="1288" max="1288" width="9.07421875" style="85" customWidth="1"/>
    <col min="1289" max="1289" width="1.69140625" style="85" customWidth="1"/>
    <col min="1290" max="1290" width="11" style="85" customWidth="1"/>
    <col min="1291" max="1291" width="1.07421875" style="85" customWidth="1"/>
    <col min="1292" max="1292" width="10.69140625" style="85" customWidth="1"/>
    <col min="1293" max="1293" width="1.07421875" style="85" customWidth="1"/>
    <col min="1294" max="1294" width="10" style="85" customWidth="1"/>
    <col min="1295" max="1295" width="1.07421875" style="85" customWidth="1"/>
    <col min="1296" max="1296" width="9.07421875" style="85" customWidth="1"/>
    <col min="1297" max="1297" width="1.07421875" style="85" customWidth="1"/>
    <col min="1298" max="1298" width="7.69140625" style="85" customWidth="1"/>
    <col min="1299" max="1299" width="1.07421875" style="85" customWidth="1"/>
    <col min="1300" max="1300" width="0.69140625" style="85" customWidth="1"/>
    <col min="1301" max="1301" width="9.07421875" style="85" customWidth="1"/>
    <col min="1302" max="1302" width="1.07421875" style="85" customWidth="1"/>
    <col min="1303" max="1303" width="0.69140625" style="85" customWidth="1"/>
    <col min="1304" max="1304" width="9.53515625" style="85" bestFit="1" customWidth="1"/>
    <col min="1305" max="1306" width="0.69140625" style="85" customWidth="1"/>
    <col min="1307" max="1307" width="9.69140625" style="85" customWidth="1"/>
    <col min="1308" max="1308" width="1.07421875" style="85" customWidth="1"/>
    <col min="1309" max="1309" width="8.53515625" style="85" customWidth="1"/>
    <col min="1310" max="1310" width="14.53515625" style="85" customWidth="1"/>
    <col min="1311" max="1311" width="10" style="85" customWidth="1"/>
    <col min="1312" max="1312" width="7.69140625" style="85" bestFit="1" customWidth="1"/>
    <col min="1313" max="1313" width="9.69140625" style="85" customWidth="1"/>
    <col min="1314" max="1530" width="8.69140625" style="85"/>
    <col min="1531" max="1531" width="38.4609375" style="85" customWidth="1"/>
    <col min="1532" max="1532" width="8.53515625" style="85" customWidth="1"/>
    <col min="1533" max="1533" width="1.07421875" style="85" customWidth="1"/>
    <col min="1534" max="1534" width="8.69140625" style="85" customWidth="1"/>
    <col min="1535" max="1535" width="1.07421875" style="85" customWidth="1"/>
    <col min="1536" max="1536" width="9.07421875" style="85" customWidth="1"/>
    <col min="1537" max="1537" width="1.07421875" style="85" customWidth="1"/>
    <col min="1538" max="1538" width="10" style="85" customWidth="1"/>
    <col min="1539" max="1539" width="1.07421875" style="85" customWidth="1"/>
    <col min="1540" max="1540" width="9.07421875" style="85" customWidth="1"/>
    <col min="1541" max="1541" width="1.07421875" style="85" customWidth="1"/>
    <col min="1542" max="1542" width="11.07421875" style="85" customWidth="1"/>
    <col min="1543" max="1543" width="1.07421875" style="85" customWidth="1"/>
    <col min="1544" max="1544" width="9.07421875" style="85" customWidth="1"/>
    <col min="1545" max="1545" width="1.69140625" style="85" customWidth="1"/>
    <col min="1546" max="1546" width="11" style="85" customWidth="1"/>
    <col min="1547" max="1547" width="1.07421875" style="85" customWidth="1"/>
    <col min="1548" max="1548" width="10.69140625" style="85" customWidth="1"/>
    <col min="1549" max="1549" width="1.07421875" style="85" customWidth="1"/>
    <col min="1550" max="1550" width="10" style="85" customWidth="1"/>
    <col min="1551" max="1551" width="1.07421875" style="85" customWidth="1"/>
    <col min="1552" max="1552" width="9.07421875" style="85" customWidth="1"/>
    <col min="1553" max="1553" width="1.07421875" style="85" customWidth="1"/>
    <col min="1554" max="1554" width="7.69140625" style="85" customWidth="1"/>
    <col min="1555" max="1555" width="1.07421875" style="85" customWidth="1"/>
    <col min="1556" max="1556" width="0.69140625" style="85" customWidth="1"/>
    <col min="1557" max="1557" width="9.07421875" style="85" customWidth="1"/>
    <col min="1558" max="1558" width="1.07421875" style="85" customWidth="1"/>
    <col min="1559" max="1559" width="0.69140625" style="85" customWidth="1"/>
    <col min="1560" max="1560" width="9.53515625" style="85" bestFit="1" customWidth="1"/>
    <col min="1561" max="1562" width="0.69140625" style="85" customWidth="1"/>
    <col min="1563" max="1563" width="9.69140625" style="85" customWidth="1"/>
    <col min="1564" max="1564" width="1.07421875" style="85" customWidth="1"/>
    <col min="1565" max="1565" width="8.53515625" style="85" customWidth="1"/>
    <col min="1566" max="1566" width="14.53515625" style="85" customWidth="1"/>
    <col min="1567" max="1567" width="10" style="85" customWidth="1"/>
    <col min="1568" max="1568" width="7.69140625" style="85" bestFit="1" customWidth="1"/>
    <col min="1569" max="1569" width="9.69140625" style="85" customWidth="1"/>
    <col min="1570" max="1786" width="8.69140625" style="85"/>
    <col min="1787" max="1787" width="38.4609375" style="85" customWidth="1"/>
    <col min="1788" max="1788" width="8.53515625" style="85" customWidth="1"/>
    <col min="1789" max="1789" width="1.07421875" style="85" customWidth="1"/>
    <col min="1790" max="1790" width="8.69140625" style="85" customWidth="1"/>
    <col min="1791" max="1791" width="1.07421875" style="85" customWidth="1"/>
    <col min="1792" max="1792" width="9.07421875" style="85" customWidth="1"/>
    <col min="1793" max="1793" width="1.07421875" style="85" customWidth="1"/>
    <col min="1794" max="1794" width="10" style="85" customWidth="1"/>
    <col min="1795" max="1795" width="1.07421875" style="85" customWidth="1"/>
    <col min="1796" max="1796" width="9.07421875" style="85" customWidth="1"/>
    <col min="1797" max="1797" width="1.07421875" style="85" customWidth="1"/>
    <col min="1798" max="1798" width="11.07421875" style="85" customWidth="1"/>
    <col min="1799" max="1799" width="1.07421875" style="85" customWidth="1"/>
    <col min="1800" max="1800" width="9.07421875" style="85" customWidth="1"/>
    <col min="1801" max="1801" width="1.69140625" style="85" customWidth="1"/>
    <col min="1802" max="1802" width="11" style="85" customWidth="1"/>
    <col min="1803" max="1803" width="1.07421875" style="85" customWidth="1"/>
    <col min="1804" max="1804" width="10.69140625" style="85" customWidth="1"/>
    <col min="1805" max="1805" width="1.07421875" style="85" customWidth="1"/>
    <col min="1806" max="1806" width="10" style="85" customWidth="1"/>
    <col min="1807" max="1807" width="1.07421875" style="85" customWidth="1"/>
    <col min="1808" max="1808" width="9.07421875" style="85" customWidth="1"/>
    <col min="1809" max="1809" width="1.07421875" style="85" customWidth="1"/>
    <col min="1810" max="1810" width="7.69140625" style="85" customWidth="1"/>
    <col min="1811" max="1811" width="1.07421875" style="85" customWidth="1"/>
    <col min="1812" max="1812" width="0.69140625" style="85" customWidth="1"/>
    <col min="1813" max="1813" width="9.07421875" style="85" customWidth="1"/>
    <col min="1814" max="1814" width="1.07421875" style="85" customWidth="1"/>
    <col min="1815" max="1815" width="0.69140625" style="85" customWidth="1"/>
    <col min="1816" max="1816" width="9.53515625" style="85" bestFit="1" customWidth="1"/>
    <col min="1817" max="1818" width="0.69140625" style="85" customWidth="1"/>
    <col min="1819" max="1819" width="9.69140625" style="85" customWidth="1"/>
    <col min="1820" max="1820" width="1.07421875" style="85" customWidth="1"/>
    <col min="1821" max="1821" width="8.53515625" style="85" customWidth="1"/>
    <col min="1822" max="1822" width="14.53515625" style="85" customWidth="1"/>
    <col min="1823" max="1823" width="10" style="85" customWidth="1"/>
    <col min="1824" max="1824" width="7.69140625" style="85" bestFit="1" customWidth="1"/>
    <col min="1825" max="1825" width="9.69140625" style="85" customWidth="1"/>
    <col min="1826" max="2042" width="8.69140625" style="85"/>
    <col min="2043" max="2043" width="38.4609375" style="85" customWidth="1"/>
    <col min="2044" max="2044" width="8.53515625" style="85" customWidth="1"/>
    <col min="2045" max="2045" width="1.07421875" style="85" customWidth="1"/>
    <col min="2046" max="2046" width="8.69140625" style="85" customWidth="1"/>
    <col min="2047" max="2047" width="1.07421875" style="85" customWidth="1"/>
    <col min="2048" max="2048" width="9.07421875" style="85" customWidth="1"/>
    <col min="2049" max="2049" width="1.07421875" style="85" customWidth="1"/>
    <col min="2050" max="2050" width="10" style="85" customWidth="1"/>
    <col min="2051" max="2051" width="1.07421875" style="85" customWidth="1"/>
    <col min="2052" max="2052" width="9.07421875" style="85" customWidth="1"/>
    <col min="2053" max="2053" width="1.07421875" style="85" customWidth="1"/>
    <col min="2054" max="2054" width="11.07421875" style="85" customWidth="1"/>
    <col min="2055" max="2055" width="1.07421875" style="85" customWidth="1"/>
    <col min="2056" max="2056" width="9.07421875" style="85" customWidth="1"/>
    <col min="2057" max="2057" width="1.69140625" style="85" customWidth="1"/>
    <col min="2058" max="2058" width="11" style="85" customWidth="1"/>
    <col min="2059" max="2059" width="1.07421875" style="85" customWidth="1"/>
    <col min="2060" max="2060" width="10.69140625" style="85" customWidth="1"/>
    <col min="2061" max="2061" width="1.07421875" style="85" customWidth="1"/>
    <col min="2062" max="2062" width="10" style="85" customWidth="1"/>
    <col min="2063" max="2063" width="1.07421875" style="85" customWidth="1"/>
    <col min="2064" max="2064" width="9.07421875" style="85" customWidth="1"/>
    <col min="2065" max="2065" width="1.07421875" style="85" customWidth="1"/>
    <col min="2066" max="2066" width="7.69140625" style="85" customWidth="1"/>
    <col min="2067" max="2067" width="1.07421875" style="85" customWidth="1"/>
    <col min="2068" max="2068" width="0.69140625" style="85" customWidth="1"/>
    <col min="2069" max="2069" width="9.07421875" style="85" customWidth="1"/>
    <col min="2070" max="2070" width="1.07421875" style="85" customWidth="1"/>
    <col min="2071" max="2071" width="0.69140625" style="85" customWidth="1"/>
    <col min="2072" max="2072" width="9.53515625" style="85" bestFit="1" customWidth="1"/>
    <col min="2073" max="2074" width="0.69140625" style="85" customWidth="1"/>
    <col min="2075" max="2075" width="9.69140625" style="85" customWidth="1"/>
    <col min="2076" max="2076" width="1.07421875" style="85" customWidth="1"/>
    <col min="2077" max="2077" width="8.53515625" style="85" customWidth="1"/>
    <col min="2078" max="2078" width="14.53515625" style="85" customWidth="1"/>
    <col min="2079" max="2079" width="10" style="85" customWidth="1"/>
    <col min="2080" max="2080" width="7.69140625" style="85" bestFit="1" customWidth="1"/>
    <col min="2081" max="2081" width="9.69140625" style="85" customWidth="1"/>
    <col min="2082" max="2298" width="8.69140625" style="85"/>
    <col min="2299" max="2299" width="38.4609375" style="85" customWidth="1"/>
    <col min="2300" max="2300" width="8.53515625" style="85" customWidth="1"/>
    <col min="2301" max="2301" width="1.07421875" style="85" customWidth="1"/>
    <col min="2302" max="2302" width="8.69140625" style="85" customWidth="1"/>
    <col min="2303" max="2303" width="1.07421875" style="85" customWidth="1"/>
    <col min="2304" max="2304" width="9.07421875" style="85" customWidth="1"/>
    <col min="2305" max="2305" width="1.07421875" style="85" customWidth="1"/>
    <col min="2306" max="2306" width="10" style="85" customWidth="1"/>
    <col min="2307" max="2307" width="1.07421875" style="85" customWidth="1"/>
    <col min="2308" max="2308" width="9.07421875" style="85" customWidth="1"/>
    <col min="2309" max="2309" width="1.07421875" style="85" customWidth="1"/>
    <col min="2310" max="2310" width="11.07421875" style="85" customWidth="1"/>
    <col min="2311" max="2311" width="1.07421875" style="85" customWidth="1"/>
    <col min="2312" max="2312" width="9.07421875" style="85" customWidth="1"/>
    <col min="2313" max="2313" width="1.69140625" style="85" customWidth="1"/>
    <col min="2314" max="2314" width="11" style="85" customWidth="1"/>
    <col min="2315" max="2315" width="1.07421875" style="85" customWidth="1"/>
    <col min="2316" max="2316" width="10.69140625" style="85" customWidth="1"/>
    <col min="2317" max="2317" width="1.07421875" style="85" customWidth="1"/>
    <col min="2318" max="2318" width="10" style="85" customWidth="1"/>
    <col min="2319" max="2319" width="1.07421875" style="85" customWidth="1"/>
    <col min="2320" max="2320" width="9.07421875" style="85" customWidth="1"/>
    <col min="2321" max="2321" width="1.07421875" style="85" customWidth="1"/>
    <col min="2322" max="2322" width="7.69140625" style="85" customWidth="1"/>
    <col min="2323" max="2323" width="1.07421875" style="85" customWidth="1"/>
    <col min="2324" max="2324" width="0.69140625" style="85" customWidth="1"/>
    <col min="2325" max="2325" width="9.07421875" style="85" customWidth="1"/>
    <col min="2326" max="2326" width="1.07421875" style="85" customWidth="1"/>
    <col min="2327" max="2327" width="0.69140625" style="85" customWidth="1"/>
    <col min="2328" max="2328" width="9.53515625" style="85" bestFit="1" customWidth="1"/>
    <col min="2329" max="2330" width="0.69140625" style="85" customWidth="1"/>
    <col min="2331" max="2331" width="9.69140625" style="85" customWidth="1"/>
    <col min="2332" max="2332" width="1.07421875" style="85" customWidth="1"/>
    <col min="2333" max="2333" width="8.53515625" style="85" customWidth="1"/>
    <col min="2334" max="2334" width="14.53515625" style="85" customWidth="1"/>
    <col min="2335" max="2335" width="10" style="85" customWidth="1"/>
    <col min="2336" max="2336" width="7.69140625" style="85" bestFit="1" customWidth="1"/>
    <col min="2337" max="2337" width="9.69140625" style="85" customWidth="1"/>
    <col min="2338" max="2554" width="8.69140625" style="85"/>
    <col min="2555" max="2555" width="38.4609375" style="85" customWidth="1"/>
    <col min="2556" max="2556" width="8.53515625" style="85" customWidth="1"/>
    <col min="2557" max="2557" width="1.07421875" style="85" customWidth="1"/>
    <col min="2558" max="2558" width="8.69140625" style="85" customWidth="1"/>
    <col min="2559" max="2559" width="1.07421875" style="85" customWidth="1"/>
    <col min="2560" max="2560" width="9.07421875" style="85" customWidth="1"/>
    <col min="2561" max="2561" width="1.07421875" style="85" customWidth="1"/>
    <col min="2562" max="2562" width="10" style="85" customWidth="1"/>
    <col min="2563" max="2563" width="1.07421875" style="85" customWidth="1"/>
    <col min="2564" max="2564" width="9.07421875" style="85" customWidth="1"/>
    <col min="2565" max="2565" width="1.07421875" style="85" customWidth="1"/>
    <col min="2566" max="2566" width="11.07421875" style="85" customWidth="1"/>
    <col min="2567" max="2567" width="1.07421875" style="85" customWidth="1"/>
    <col min="2568" max="2568" width="9.07421875" style="85" customWidth="1"/>
    <col min="2569" max="2569" width="1.69140625" style="85" customWidth="1"/>
    <col min="2570" max="2570" width="11" style="85" customWidth="1"/>
    <col min="2571" max="2571" width="1.07421875" style="85" customWidth="1"/>
    <col min="2572" max="2572" width="10.69140625" style="85" customWidth="1"/>
    <col min="2573" max="2573" width="1.07421875" style="85" customWidth="1"/>
    <col min="2574" max="2574" width="10" style="85" customWidth="1"/>
    <col min="2575" max="2575" width="1.07421875" style="85" customWidth="1"/>
    <col min="2576" max="2576" width="9.07421875" style="85" customWidth="1"/>
    <col min="2577" max="2577" width="1.07421875" style="85" customWidth="1"/>
    <col min="2578" max="2578" width="7.69140625" style="85" customWidth="1"/>
    <col min="2579" max="2579" width="1.07421875" style="85" customWidth="1"/>
    <col min="2580" max="2580" width="0.69140625" style="85" customWidth="1"/>
    <col min="2581" max="2581" width="9.07421875" style="85" customWidth="1"/>
    <col min="2582" max="2582" width="1.07421875" style="85" customWidth="1"/>
    <col min="2583" max="2583" width="0.69140625" style="85" customWidth="1"/>
    <col min="2584" max="2584" width="9.53515625" style="85" bestFit="1" customWidth="1"/>
    <col min="2585" max="2586" width="0.69140625" style="85" customWidth="1"/>
    <col min="2587" max="2587" width="9.69140625" style="85" customWidth="1"/>
    <col min="2588" max="2588" width="1.07421875" style="85" customWidth="1"/>
    <col min="2589" max="2589" width="8.53515625" style="85" customWidth="1"/>
    <col min="2590" max="2590" width="14.53515625" style="85" customWidth="1"/>
    <col min="2591" max="2591" width="10" style="85" customWidth="1"/>
    <col min="2592" max="2592" width="7.69140625" style="85" bestFit="1" customWidth="1"/>
    <col min="2593" max="2593" width="9.69140625" style="85" customWidth="1"/>
    <col min="2594" max="2810" width="8.69140625" style="85"/>
    <col min="2811" max="2811" width="38.4609375" style="85" customWidth="1"/>
    <col min="2812" max="2812" width="8.53515625" style="85" customWidth="1"/>
    <col min="2813" max="2813" width="1.07421875" style="85" customWidth="1"/>
    <col min="2814" max="2814" width="8.69140625" style="85" customWidth="1"/>
    <col min="2815" max="2815" width="1.07421875" style="85" customWidth="1"/>
    <col min="2816" max="2816" width="9.07421875" style="85" customWidth="1"/>
    <col min="2817" max="2817" width="1.07421875" style="85" customWidth="1"/>
    <col min="2818" max="2818" width="10" style="85" customWidth="1"/>
    <col min="2819" max="2819" width="1.07421875" style="85" customWidth="1"/>
    <col min="2820" max="2820" width="9.07421875" style="85" customWidth="1"/>
    <col min="2821" max="2821" width="1.07421875" style="85" customWidth="1"/>
    <col min="2822" max="2822" width="11.07421875" style="85" customWidth="1"/>
    <col min="2823" max="2823" width="1.07421875" style="85" customWidth="1"/>
    <col min="2824" max="2824" width="9.07421875" style="85" customWidth="1"/>
    <col min="2825" max="2825" width="1.69140625" style="85" customWidth="1"/>
    <col min="2826" max="2826" width="11" style="85" customWidth="1"/>
    <col min="2827" max="2827" width="1.07421875" style="85" customWidth="1"/>
    <col min="2828" max="2828" width="10.69140625" style="85" customWidth="1"/>
    <col min="2829" max="2829" width="1.07421875" style="85" customWidth="1"/>
    <col min="2830" max="2830" width="10" style="85" customWidth="1"/>
    <col min="2831" max="2831" width="1.07421875" style="85" customWidth="1"/>
    <col min="2832" max="2832" width="9.07421875" style="85" customWidth="1"/>
    <col min="2833" max="2833" width="1.07421875" style="85" customWidth="1"/>
    <col min="2834" max="2834" width="7.69140625" style="85" customWidth="1"/>
    <col min="2835" max="2835" width="1.07421875" style="85" customWidth="1"/>
    <col min="2836" max="2836" width="0.69140625" style="85" customWidth="1"/>
    <col min="2837" max="2837" width="9.07421875" style="85" customWidth="1"/>
    <col min="2838" max="2838" width="1.07421875" style="85" customWidth="1"/>
    <col min="2839" max="2839" width="0.69140625" style="85" customWidth="1"/>
    <col min="2840" max="2840" width="9.53515625" style="85" bestFit="1" customWidth="1"/>
    <col min="2841" max="2842" width="0.69140625" style="85" customWidth="1"/>
    <col min="2843" max="2843" width="9.69140625" style="85" customWidth="1"/>
    <col min="2844" max="2844" width="1.07421875" style="85" customWidth="1"/>
    <col min="2845" max="2845" width="8.53515625" style="85" customWidth="1"/>
    <col min="2846" max="2846" width="14.53515625" style="85" customWidth="1"/>
    <col min="2847" max="2847" width="10" style="85" customWidth="1"/>
    <col min="2848" max="2848" width="7.69140625" style="85" bestFit="1" customWidth="1"/>
    <col min="2849" max="2849" width="9.69140625" style="85" customWidth="1"/>
    <col min="2850" max="3066" width="8.69140625" style="85"/>
    <col min="3067" max="3067" width="38.4609375" style="85" customWidth="1"/>
    <col min="3068" max="3068" width="8.53515625" style="85" customWidth="1"/>
    <col min="3069" max="3069" width="1.07421875" style="85" customWidth="1"/>
    <col min="3070" max="3070" width="8.69140625" style="85" customWidth="1"/>
    <col min="3071" max="3071" width="1.07421875" style="85" customWidth="1"/>
    <col min="3072" max="3072" width="9.07421875" style="85" customWidth="1"/>
    <col min="3073" max="3073" width="1.07421875" style="85" customWidth="1"/>
    <col min="3074" max="3074" width="10" style="85" customWidth="1"/>
    <col min="3075" max="3075" width="1.07421875" style="85" customWidth="1"/>
    <col min="3076" max="3076" width="9.07421875" style="85" customWidth="1"/>
    <col min="3077" max="3077" width="1.07421875" style="85" customWidth="1"/>
    <col min="3078" max="3078" width="11.07421875" style="85" customWidth="1"/>
    <col min="3079" max="3079" width="1.07421875" style="85" customWidth="1"/>
    <col min="3080" max="3080" width="9.07421875" style="85" customWidth="1"/>
    <col min="3081" max="3081" width="1.69140625" style="85" customWidth="1"/>
    <col min="3082" max="3082" width="11" style="85" customWidth="1"/>
    <col min="3083" max="3083" width="1.07421875" style="85" customWidth="1"/>
    <col min="3084" max="3084" width="10.69140625" style="85" customWidth="1"/>
    <col min="3085" max="3085" width="1.07421875" style="85" customWidth="1"/>
    <col min="3086" max="3086" width="10" style="85" customWidth="1"/>
    <col min="3087" max="3087" width="1.07421875" style="85" customWidth="1"/>
    <col min="3088" max="3088" width="9.07421875" style="85" customWidth="1"/>
    <col min="3089" max="3089" width="1.07421875" style="85" customWidth="1"/>
    <col min="3090" max="3090" width="7.69140625" style="85" customWidth="1"/>
    <col min="3091" max="3091" width="1.07421875" style="85" customWidth="1"/>
    <col min="3092" max="3092" width="0.69140625" style="85" customWidth="1"/>
    <col min="3093" max="3093" width="9.07421875" style="85" customWidth="1"/>
    <col min="3094" max="3094" width="1.07421875" style="85" customWidth="1"/>
    <col min="3095" max="3095" width="0.69140625" style="85" customWidth="1"/>
    <col min="3096" max="3096" width="9.53515625" style="85" bestFit="1" customWidth="1"/>
    <col min="3097" max="3098" width="0.69140625" style="85" customWidth="1"/>
    <col min="3099" max="3099" width="9.69140625" style="85" customWidth="1"/>
    <col min="3100" max="3100" width="1.07421875" style="85" customWidth="1"/>
    <col min="3101" max="3101" width="8.53515625" style="85" customWidth="1"/>
    <col min="3102" max="3102" width="14.53515625" style="85" customWidth="1"/>
    <col min="3103" max="3103" width="10" style="85" customWidth="1"/>
    <col min="3104" max="3104" width="7.69140625" style="85" bestFit="1" customWidth="1"/>
    <col min="3105" max="3105" width="9.69140625" style="85" customWidth="1"/>
    <col min="3106" max="3322" width="8.69140625" style="85"/>
    <col min="3323" max="3323" width="38.4609375" style="85" customWidth="1"/>
    <col min="3324" max="3324" width="8.53515625" style="85" customWidth="1"/>
    <col min="3325" max="3325" width="1.07421875" style="85" customWidth="1"/>
    <col min="3326" max="3326" width="8.69140625" style="85" customWidth="1"/>
    <col min="3327" max="3327" width="1.07421875" style="85" customWidth="1"/>
    <col min="3328" max="3328" width="9.07421875" style="85" customWidth="1"/>
    <col min="3329" max="3329" width="1.07421875" style="85" customWidth="1"/>
    <col min="3330" max="3330" width="10" style="85" customWidth="1"/>
    <col min="3331" max="3331" width="1.07421875" style="85" customWidth="1"/>
    <col min="3332" max="3332" width="9.07421875" style="85" customWidth="1"/>
    <col min="3333" max="3333" width="1.07421875" style="85" customWidth="1"/>
    <col min="3334" max="3334" width="11.07421875" style="85" customWidth="1"/>
    <col min="3335" max="3335" width="1.07421875" style="85" customWidth="1"/>
    <col min="3336" max="3336" width="9.07421875" style="85" customWidth="1"/>
    <col min="3337" max="3337" width="1.69140625" style="85" customWidth="1"/>
    <col min="3338" max="3338" width="11" style="85" customWidth="1"/>
    <col min="3339" max="3339" width="1.07421875" style="85" customWidth="1"/>
    <col min="3340" max="3340" width="10.69140625" style="85" customWidth="1"/>
    <col min="3341" max="3341" width="1.07421875" style="85" customWidth="1"/>
    <col min="3342" max="3342" width="10" style="85" customWidth="1"/>
    <col min="3343" max="3343" width="1.07421875" style="85" customWidth="1"/>
    <col min="3344" max="3344" width="9.07421875" style="85" customWidth="1"/>
    <col min="3345" max="3345" width="1.07421875" style="85" customWidth="1"/>
    <col min="3346" max="3346" width="7.69140625" style="85" customWidth="1"/>
    <col min="3347" max="3347" width="1.07421875" style="85" customWidth="1"/>
    <col min="3348" max="3348" width="0.69140625" style="85" customWidth="1"/>
    <col min="3349" max="3349" width="9.07421875" style="85" customWidth="1"/>
    <col min="3350" max="3350" width="1.07421875" style="85" customWidth="1"/>
    <col min="3351" max="3351" width="0.69140625" style="85" customWidth="1"/>
    <col min="3352" max="3352" width="9.53515625" style="85" bestFit="1" customWidth="1"/>
    <col min="3353" max="3354" width="0.69140625" style="85" customWidth="1"/>
    <col min="3355" max="3355" width="9.69140625" style="85" customWidth="1"/>
    <col min="3356" max="3356" width="1.07421875" style="85" customWidth="1"/>
    <col min="3357" max="3357" width="8.53515625" style="85" customWidth="1"/>
    <col min="3358" max="3358" width="14.53515625" style="85" customWidth="1"/>
    <col min="3359" max="3359" width="10" style="85" customWidth="1"/>
    <col min="3360" max="3360" width="7.69140625" style="85" bestFit="1" customWidth="1"/>
    <col min="3361" max="3361" width="9.69140625" style="85" customWidth="1"/>
    <col min="3362" max="3578" width="8.69140625" style="85"/>
    <col min="3579" max="3579" width="38.4609375" style="85" customWidth="1"/>
    <col min="3580" max="3580" width="8.53515625" style="85" customWidth="1"/>
    <col min="3581" max="3581" width="1.07421875" style="85" customWidth="1"/>
    <col min="3582" max="3582" width="8.69140625" style="85" customWidth="1"/>
    <col min="3583" max="3583" width="1.07421875" style="85" customWidth="1"/>
    <col min="3584" max="3584" width="9.07421875" style="85" customWidth="1"/>
    <col min="3585" max="3585" width="1.07421875" style="85" customWidth="1"/>
    <col min="3586" max="3586" width="10" style="85" customWidth="1"/>
    <col min="3587" max="3587" width="1.07421875" style="85" customWidth="1"/>
    <col min="3588" max="3588" width="9.07421875" style="85" customWidth="1"/>
    <col min="3589" max="3589" width="1.07421875" style="85" customWidth="1"/>
    <col min="3590" max="3590" width="11.07421875" style="85" customWidth="1"/>
    <col min="3591" max="3591" width="1.07421875" style="85" customWidth="1"/>
    <col min="3592" max="3592" width="9.07421875" style="85" customWidth="1"/>
    <col min="3593" max="3593" width="1.69140625" style="85" customWidth="1"/>
    <col min="3594" max="3594" width="11" style="85" customWidth="1"/>
    <col min="3595" max="3595" width="1.07421875" style="85" customWidth="1"/>
    <col min="3596" max="3596" width="10.69140625" style="85" customWidth="1"/>
    <col min="3597" max="3597" width="1.07421875" style="85" customWidth="1"/>
    <col min="3598" max="3598" width="10" style="85" customWidth="1"/>
    <col min="3599" max="3599" width="1.07421875" style="85" customWidth="1"/>
    <col min="3600" max="3600" width="9.07421875" style="85" customWidth="1"/>
    <col min="3601" max="3601" width="1.07421875" style="85" customWidth="1"/>
    <col min="3602" max="3602" width="7.69140625" style="85" customWidth="1"/>
    <col min="3603" max="3603" width="1.07421875" style="85" customWidth="1"/>
    <col min="3604" max="3604" width="0.69140625" style="85" customWidth="1"/>
    <col min="3605" max="3605" width="9.07421875" style="85" customWidth="1"/>
    <col min="3606" max="3606" width="1.07421875" style="85" customWidth="1"/>
    <col min="3607" max="3607" width="0.69140625" style="85" customWidth="1"/>
    <col min="3608" max="3608" width="9.53515625" style="85" bestFit="1" customWidth="1"/>
    <col min="3609" max="3610" width="0.69140625" style="85" customWidth="1"/>
    <col min="3611" max="3611" width="9.69140625" style="85" customWidth="1"/>
    <col min="3612" max="3612" width="1.07421875" style="85" customWidth="1"/>
    <col min="3613" max="3613" width="8.53515625" style="85" customWidth="1"/>
    <col min="3614" max="3614" width="14.53515625" style="85" customWidth="1"/>
    <col min="3615" max="3615" width="10" style="85" customWidth="1"/>
    <col min="3616" max="3616" width="7.69140625" style="85" bestFit="1" customWidth="1"/>
    <col min="3617" max="3617" width="9.69140625" style="85" customWidth="1"/>
    <col min="3618" max="3834" width="8.69140625" style="85"/>
    <col min="3835" max="3835" width="38.4609375" style="85" customWidth="1"/>
    <col min="3836" max="3836" width="8.53515625" style="85" customWidth="1"/>
    <col min="3837" max="3837" width="1.07421875" style="85" customWidth="1"/>
    <col min="3838" max="3838" width="8.69140625" style="85" customWidth="1"/>
    <col min="3839" max="3839" width="1.07421875" style="85" customWidth="1"/>
    <col min="3840" max="3840" width="9.07421875" style="85" customWidth="1"/>
    <col min="3841" max="3841" width="1.07421875" style="85" customWidth="1"/>
    <col min="3842" max="3842" width="10" style="85" customWidth="1"/>
    <col min="3843" max="3843" width="1.07421875" style="85" customWidth="1"/>
    <col min="3844" max="3844" width="9.07421875" style="85" customWidth="1"/>
    <col min="3845" max="3845" width="1.07421875" style="85" customWidth="1"/>
    <col min="3846" max="3846" width="11.07421875" style="85" customWidth="1"/>
    <col min="3847" max="3847" width="1.07421875" style="85" customWidth="1"/>
    <col min="3848" max="3848" width="9.07421875" style="85" customWidth="1"/>
    <col min="3849" max="3849" width="1.69140625" style="85" customWidth="1"/>
    <col min="3850" max="3850" width="11" style="85" customWidth="1"/>
    <col min="3851" max="3851" width="1.07421875" style="85" customWidth="1"/>
    <col min="3852" max="3852" width="10.69140625" style="85" customWidth="1"/>
    <col min="3853" max="3853" width="1.07421875" style="85" customWidth="1"/>
    <col min="3854" max="3854" width="10" style="85" customWidth="1"/>
    <col min="3855" max="3855" width="1.07421875" style="85" customWidth="1"/>
    <col min="3856" max="3856" width="9.07421875" style="85" customWidth="1"/>
    <col min="3857" max="3857" width="1.07421875" style="85" customWidth="1"/>
    <col min="3858" max="3858" width="7.69140625" style="85" customWidth="1"/>
    <col min="3859" max="3859" width="1.07421875" style="85" customWidth="1"/>
    <col min="3860" max="3860" width="0.69140625" style="85" customWidth="1"/>
    <col min="3861" max="3861" width="9.07421875" style="85" customWidth="1"/>
    <col min="3862" max="3862" width="1.07421875" style="85" customWidth="1"/>
    <col min="3863" max="3863" width="0.69140625" style="85" customWidth="1"/>
    <col min="3864" max="3864" width="9.53515625" style="85" bestFit="1" customWidth="1"/>
    <col min="3865" max="3866" width="0.69140625" style="85" customWidth="1"/>
    <col min="3867" max="3867" width="9.69140625" style="85" customWidth="1"/>
    <col min="3868" max="3868" width="1.07421875" style="85" customWidth="1"/>
    <col min="3869" max="3869" width="8.53515625" style="85" customWidth="1"/>
    <col min="3870" max="3870" width="14.53515625" style="85" customWidth="1"/>
    <col min="3871" max="3871" width="10" style="85" customWidth="1"/>
    <col min="3872" max="3872" width="7.69140625" style="85" bestFit="1" customWidth="1"/>
    <col min="3873" max="3873" width="9.69140625" style="85" customWidth="1"/>
    <col min="3874" max="4090" width="8.69140625" style="85"/>
    <col min="4091" max="4091" width="38.4609375" style="85" customWidth="1"/>
    <col min="4092" max="4092" width="8.53515625" style="85" customWidth="1"/>
    <col min="4093" max="4093" width="1.07421875" style="85" customWidth="1"/>
    <col min="4094" max="4094" width="8.69140625" style="85" customWidth="1"/>
    <col min="4095" max="4095" width="1.07421875" style="85" customWidth="1"/>
    <col min="4096" max="4096" width="9.07421875" style="85" customWidth="1"/>
    <col min="4097" max="4097" width="1.07421875" style="85" customWidth="1"/>
    <col min="4098" max="4098" width="10" style="85" customWidth="1"/>
    <col min="4099" max="4099" width="1.07421875" style="85" customWidth="1"/>
    <col min="4100" max="4100" width="9.07421875" style="85" customWidth="1"/>
    <col min="4101" max="4101" width="1.07421875" style="85" customWidth="1"/>
    <col min="4102" max="4102" width="11.07421875" style="85" customWidth="1"/>
    <col min="4103" max="4103" width="1.07421875" style="85" customWidth="1"/>
    <col min="4104" max="4104" width="9.07421875" style="85" customWidth="1"/>
    <col min="4105" max="4105" width="1.69140625" style="85" customWidth="1"/>
    <col min="4106" max="4106" width="11" style="85" customWidth="1"/>
    <col min="4107" max="4107" width="1.07421875" style="85" customWidth="1"/>
    <col min="4108" max="4108" width="10.69140625" style="85" customWidth="1"/>
    <col min="4109" max="4109" width="1.07421875" style="85" customWidth="1"/>
    <col min="4110" max="4110" width="10" style="85" customWidth="1"/>
    <col min="4111" max="4111" width="1.07421875" style="85" customWidth="1"/>
    <col min="4112" max="4112" width="9.07421875" style="85" customWidth="1"/>
    <col min="4113" max="4113" width="1.07421875" style="85" customWidth="1"/>
    <col min="4114" max="4114" width="7.69140625" style="85" customWidth="1"/>
    <col min="4115" max="4115" width="1.07421875" style="85" customWidth="1"/>
    <col min="4116" max="4116" width="0.69140625" style="85" customWidth="1"/>
    <col min="4117" max="4117" width="9.07421875" style="85" customWidth="1"/>
    <col min="4118" max="4118" width="1.07421875" style="85" customWidth="1"/>
    <col min="4119" max="4119" width="0.69140625" style="85" customWidth="1"/>
    <col min="4120" max="4120" width="9.53515625" style="85" bestFit="1" customWidth="1"/>
    <col min="4121" max="4122" width="0.69140625" style="85" customWidth="1"/>
    <col min="4123" max="4123" width="9.69140625" style="85" customWidth="1"/>
    <col min="4124" max="4124" width="1.07421875" style="85" customWidth="1"/>
    <col min="4125" max="4125" width="8.53515625" style="85" customWidth="1"/>
    <col min="4126" max="4126" width="14.53515625" style="85" customWidth="1"/>
    <col min="4127" max="4127" width="10" style="85" customWidth="1"/>
    <col min="4128" max="4128" width="7.69140625" style="85" bestFit="1" customWidth="1"/>
    <col min="4129" max="4129" width="9.69140625" style="85" customWidth="1"/>
    <col min="4130" max="4346" width="8.69140625" style="85"/>
    <col min="4347" max="4347" width="38.4609375" style="85" customWidth="1"/>
    <col min="4348" max="4348" width="8.53515625" style="85" customWidth="1"/>
    <col min="4349" max="4349" width="1.07421875" style="85" customWidth="1"/>
    <col min="4350" max="4350" width="8.69140625" style="85" customWidth="1"/>
    <col min="4351" max="4351" width="1.07421875" style="85" customWidth="1"/>
    <col min="4352" max="4352" width="9.07421875" style="85" customWidth="1"/>
    <col min="4353" max="4353" width="1.07421875" style="85" customWidth="1"/>
    <col min="4354" max="4354" width="10" style="85" customWidth="1"/>
    <col min="4355" max="4355" width="1.07421875" style="85" customWidth="1"/>
    <col min="4356" max="4356" width="9.07421875" style="85" customWidth="1"/>
    <col min="4357" max="4357" width="1.07421875" style="85" customWidth="1"/>
    <col min="4358" max="4358" width="11.07421875" style="85" customWidth="1"/>
    <col min="4359" max="4359" width="1.07421875" style="85" customWidth="1"/>
    <col min="4360" max="4360" width="9.07421875" style="85" customWidth="1"/>
    <col min="4361" max="4361" width="1.69140625" style="85" customWidth="1"/>
    <col min="4362" max="4362" width="11" style="85" customWidth="1"/>
    <col min="4363" max="4363" width="1.07421875" style="85" customWidth="1"/>
    <col min="4364" max="4364" width="10.69140625" style="85" customWidth="1"/>
    <col min="4365" max="4365" width="1.07421875" style="85" customWidth="1"/>
    <col min="4366" max="4366" width="10" style="85" customWidth="1"/>
    <col min="4367" max="4367" width="1.07421875" style="85" customWidth="1"/>
    <col min="4368" max="4368" width="9.07421875" style="85" customWidth="1"/>
    <col min="4369" max="4369" width="1.07421875" style="85" customWidth="1"/>
    <col min="4370" max="4370" width="7.69140625" style="85" customWidth="1"/>
    <col min="4371" max="4371" width="1.07421875" style="85" customWidth="1"/>
    <col min="4372" max="4372" width="0.69140625" style="85" customWidth="1"/>
    <col min="4373" max="4373" width="9.07421875" style="85" customWidth="1"/>
    <col min="4374" max="4374" width="1.07421875" style="85" customWidth="1"/>
    <col min="4375" max="4375" width="0.69140625" style="85" customWidth="1"/>
    <col min="4376" max="4376" width="9.53515625" style="85" bestFit="1" customWidth="1"/>
    <col min="4377" max="4378" width="0.69140625" style="85" customWidth="1"/>
    <col min="4379" max="4379" width="9.69140625" style="85" customWidth="1"/>
    <col min="4380" max="4380" width="1.07421875" style="85" customWidth="1"/>
    <col min="4381" max="4381" width="8.53515625" style="85" customWidth="1"/>
    <col min="4382" max="4382" width="14.53515625" style="85" customWidth="1"/>
    <col min="4383" max="4383" width="10" style="85" customWidth="1"/>
    <col min="4384" max="4384" width="7.69140625" style="85" bestFit="1" customWidth="1"/>
    <col min="4385" max="4385" width="9.69140625" style="85" customWidth="1"/>
    <col min="4386" max="4602" width="8.69140625" style="85"/>
    <col min="4603" max="4603" width="38.4609375" style="85" customWidth="1"/>
    <col min="4604" max="4604" width="8.53515625" style="85" customWidth="1"/>
    <col min="4605" max="4605" width="1.07421875" style="85" customWidth="1"/>
    <col min="4606" max="4606" width="8.69140625" style="85" customWidth="1"/>
    <col min="4607" max="4607" width="1.07421875" style="85" customWidth="1"/>
    <col min="4608" max="4608" width="9.07421875" style="85" customWidth="1"/>
    <col min="4609" max="4609" width="1.07421875" style="85" customWidth="1"/>
    <col min="4610" max="4610" width="10" style="85" customWidth="1"/>
    <col min="4611" max="4611" width="1.07421875" style="85" customWidth="1"/>
    <col min="4612" max="4612" width="9.07421875" style="85" customWidth="1"/>
    <col min="4613" max="4613" width="1.07421875" style="85" customWidth="1"/>
    <col min="4614" max="4614" width="11.07421875" style="85" customWidth="1"/>
    <col min="4615" max="4615" width="1.07421875" style="85" customWidth="1"/>
    <col min="4616" max="4616" width="9.07421875" style="85" customWidth="1"/>
    <col min="4617" max="4617" width="1.69140625" style="85" customWidth="1"/>
    <col min="4618" max="4618" width="11" style="85" customWidth="1"/>
    <col min="4619" max="4619" width="1.07421875" style="85" customWidth="1"/>
    <col min="4620" max="4620" width="10.69140625" style="85" customWidth="1"/>
    <col min="4621" max="4621" width="1.07421875" style="85" customWidth="1"/>
    <col min="4622" max="4622" width="10" style="85" customWidth="1"/>
    <col min="4623" max="4623" width="1.07421875" style="85" customWidth="1"/>
    <col min="4624" max="4624" width="9.07421875" style="85" customWidth="1"/>
    <col min="4625" max="4625" width="1.07421875" style="85" customWidth="1"/>
    <col min="4626" max="4626" width="7.69140625" style="85" customWidth="1"/>
    <col min="4627" max="4627" width="1.07421875" style="85" customWidth="1"/>
    <col min="4628" max="4628" width="0.69140625" style="85" customWidth="1"/>
    <col min="4629" max="4629" width="9.07421875" style="85" customWidth="1"/>
    <col min="4630" max="4630" width="1.07421875" style="85" customWidth="1"/>
    <col min="4631" max="4631" width="0.69140625" style="85" customWidth="1"/>
    <col min="4632" max="4632" width="9.53515625" style="85" bestFit="1" customWidth="1"/>
    <col min="4633" max="4634" width="0.69140625" style="85" customWidth="1"/>
    <col min="4635" max="4635" width="9.69140625" style="85" customWidth="1"/>
    <col min="4636" max="4636" width="1.07421875" style="85" customWidth="1"/>
    <col min="4637" max="4637" width="8.53515625" style="85" customWidth="1"/>
    <col min="4638" max="4638" width="14.53515625" style="85" customWidth="1"/>
    <col min="4639" max="4639" width="10" style="85" customWidth="1"/>
    <col min="4640" max="4640" width="7.69140625" style="85" bestFit="1" customWidth="1"/>
    <col min="4641" max="4641" width="9.69140625" style="85" customWidth="1"/>
    <col min="4642" max="4858" width="8.69140625" style="85"/>
    <col min="4859" max="4859" width="38.4609375" style="85" customWidth="1"/>
    <col min="4860" max="4860" width="8.53515625" style="85" customWidth="1"/>
    <col min="4861" max="4861" width="1.07421875" style="85" customWidth="1"/>
    <col min="4862" max="4862" width="8.69140625" style="85" customWidth="1"/>
    <col min="4863" max="4863" width="1.07421875" style="85" customWidth="1"/>
    <col min="4864" max="4864" width="9.07421875" style="85" customWidth="1"/>
    <col min="4865" max="4865" width="1.07421875" style="85" customWidth="1"/>
    <col min="4866" max="4866" width="10" style="85" customWidth="1"/>
    <col min="4867" max="4867" width="1.07421875" style="85" customWidth="1"/>
    <col min="4868" max="4868" width="9.07421875" style="85" customWidth="1"/>
    <col min="4869" max="4869" width="1.07421875" style="85" customWidth="1"/>
    <col min="4870" max="4870" width="11.07421875" style="85" customWidth="1"/>
    <col min="4871" max="4871" width="1.07421875" style="85" customWidth="1"/>
    <col min="4872" max="4872" width="9.07421875" style="85" customWidth="1"/>
    <col min="4873" max="4873" width="1.69140625" style="85" customWidth="1"/>
    <col min="4874" max="4874" width="11" style="85" customWidth="1"/>
    <col min="4875" max="4875" width="1.07421875" style="85" customWidth="1"/>
    <col min="4876" max="4876" width="10.69140625" style="85" customWidth="1"/>
    <col min="4877" max="4877" width="1.07421875" style="85" customWidth="1"/>
    <col min="4878" max="4878" width="10" style="85" customWidth="1"/>
    <col min="4879" max="4879" width="1.07421875" style="85" customWidth="1"/>
    <col min="4880" max="4880" width="9.07421875" style="85" customWidth="1"/>
    <col min="4881" max="4881" width="1.07421875" style="85" customWidth="1"/>
    <col min="4882" max="4882" width="7.69140625" style="85" customWidth="1"/>
    <col min="4883" max="4883" width="1.07421875" style="85" customWidth="1"/>
    <col min="4884" max="4884" width="0.69140625" style="85" customWidth="1"/>
    <col min="4885" max="4885" width="9.07421875" style="85" customWidth="1"/>
    <col min="4886" max="4886" width="1.07421875" style="85" customWidth="1"/>
    <col min="4887" max="4887" width="0.69140625" style="85" customWidth="1"/>
    <col min="4888" max="4888" width="9.53515625" style="85" bestFit="1" customWidth="1"/>
    <col min="4889" max="4890" width="0.69140625" style="85" customWidth="1"/>
    <col min="4891" max="4891" width="9.69140625" style="85" customWidth="1"/>
    <col min="4892" max="4892" width="1.07421875" style="85" customWidth="1"/>
    <col min="4893" max="4893" width="8.53515625" style="85" customWidth="1"/>
    <col min="4894" max="4894" width="14.53515625" style="85" customWidth="1"/>
    <col min="4895" max="4895" width="10" style="85" customWidth="1"/>
    <col min="4896" max="4896" width="7.69140625" style="85" bestFit="1" customWidth="1"/>
    <col min="4897" max="4897" width="9.69140625" style="85" customWidth="1"/>
    <col min="4898" max="5114" width="8.69140625" style="85"/>
    <col min="5115" max="5115" width="38.4609375" style="85" customWidth="1"/>
    <col min="5116" max="5116" width="8.53515625" style="85" customWidth="1"/>
    <col min="5117" max="5117" width="1.07421875" style="85" customWidth="1"/>
    <col min="5118" max="5118" width="8.69140625" style="85" customWidth="1"/>
    <col min="5119" max="5119" width="1.07421875" style="85" customWidth="1"/>
    <col min="5120" max="5120" width="9.07421875" style="85" customWidth="1"/>
    <col min="5121" max="5121" width="1.07421875" style="85" customWidth="1"/>
    <col min="5122" max="5122" width="10" style="85" customWidth="1"/>
    <col min="5123" max="5123" width="1.07421875" style="85" customWidth="1"/>
    <col min="5124" max="5124" width="9.07421875" style="85" customWidth="1"/>
    <col min="5125" max="5125" width="1.07421875" style="85" customWidth="1"/>
    <col min="5126" max="5126" width="11.07421875" style="85" customWidth="1"/>
    <col min="5127" max="5127" width="1.07421875" style="85" customWidth="1"/>
    <col min="5128" max="5128" width="9.07421875" style="85" customWidth="1"/>
    <col min="5129" max="5129" width="1.69140625" style="85" customWidth="1"/>
    <col min="5130" max="5130" width="11" style="85" customWidth="1"/>
    <col min="5131" max="5131" width="1.07421875" style="85" customWidth="1"/>
    <col min="5132" max="5132" width="10.69140625" style="85" customWidth="1"/>
    <col min="5133" max="5133" width="1.07421875" style="85" customWidth="1"/>
    <col min="5134" max="5134" width="10" style="85" customWidth="1"/>
    <col min="5135" max="5135" width="1.07421875" style="85" customWidth="1"/>
    <col min="5136" max="5136" width="9.07421875" style="85" customWidth="1"/>
    <col min="5137" max="5137" width="1.07421875" style="85" customWidth="1"/>
    <col min="5138" max="5138" width="7.69140625" style="85" customWidth="1"/>
    <col min="5139" max="5139" width="1.07421875" style="85" customWidth="1"/>
    <col min="5140" max="5140" width="0.69140625" style="85" customWidth="1"/>
    <col min="5141" max="5141" width="9.07421875" style="85" customWidth="1"/>
    <col min="5142" max="5142" width="1.07421875" style="85" customWidth="1"/>
    <col min="5143" max="5143" width="0.69140625" style="85" customWidth="1"/>
    <col min="5144" max="5144" width="9.53515625" style="85" bestFit="1" customWidth="1"/>
    <col min="5145" max="5146" width="0.69140625" style="85" customWidth="1"/>
    <col min="5147" max="5147" width="9.69140625" style="85" customWidth="1"/>
    <col min="5148" max="5148" width="1.07421875" style="85" customWidth="1"/>
    <col min="5149" max="5149" width="8.53515625" style="85" customWidth="1"/>
    <col min="5150" max="5150" width="14.53515625" style="85" customWidth="1"/>
    <col min="5151" max="5151" width="10" style="85" customWidth="1"/>
    <col min="5152" max="5152" width="7.69140625" style="85" bestFit="1" customWidth="1"/>
    <col min="5153" max="5153" width="9.69140625" style="85" customWidth="1"/>
    <col min="5154" max="5370" width="8.69140625" style="85"/>
    <col min="5371" max="5371" width="38.4609375" style="85" customWidth="1"/>
    <col min="5372" max="5372" width="8.53515625" style="85" customWidth="1"/>
    <col min="5373" max="5373" width="1.07421875" style="85" customWidth="1"/>
    <col min="5374" max="5374" width="8.69140625" style="85" customWidth="1"/>
    <col min="5375" max="5375" width="1.07421875" style="85" customWidth="1"/>
    <col min="5376" max="5376" width="9.07421875" style="85" customWidth="1"/>
    <col min="5377" max="5377" width="1.07421875" style="85" customWidth="1"/>
    <col min="5378" max="5378" width="10" style="85" customWidth="1"/>
    <col min="5379" max="5379" width="1.07421875" style="85" customWidth="1"/>
    <col min="5380" max="5380" width="9.07421875" style="85" customWidth="1"/>
    <col min="5381" max="5381" width="1.07421875" style="85" customWidth="1"/>
    <col min="5382" max="5382" width="11.07421875" style="85" customWidth="1"/>
    <col min="5383" max="5383" width="1.07421875" style="85" customWidth="1"/>
    <col min="5384" max="5384" width="9.07421875" style="85" customWidth="1"/>
    <col min="5385" max="5385" width="1.69140625" style="85" customWidth="1"/>
    <col min="5386" max="5386" width="11" style="85" customWidth="1"/>
    <col min="5387" max="5387" width="1.07421875" style="85" customWidth="1"/>
    <col min="5388" max="5388" width="10.69140625" style="85" customWidth="1"/>
    <col min="5389" max="5389" width="1.07421875" style="85" customWidth="1"/>
    <col min="5390" max="5390" width="10" style="85" customWidth="1"/>
    <col min="5391" max="5391" width="1.07421875" style="85" customWidth="1"/>
    <col min="5392" max="5392" width="9.07421875" style="85" customWidth="1"/>
    <col min="5393" max="5393" width="1.07421875" style="85" customWidth="1"/>
    <col min="5394" max="5394" width="7.69140625" style="85" customWidth="1"/>
    <col min="5395" max="5395" width="1.07421875" style="85" customWidth="1"/>
    <col min="5396" max="5396" width="0.69140625" style="85" customWidth="1"/>
    <col min="5397" max="5397" width="9.07421875" style="85" customWidth="1"/>
    <col min="5398" max="5398" width="1.07421875" style="85" customWidth="1"/>
    <col min="5399" max="5399" width="0.69140625" style="85" customWidth="1"/>
    <col min="5400" max="5400" width="9.53515625" style="85" bestFit="1" customWidth="1"/>
    <col min="5401" max="5402" width="0.69140625" style="85" customWidth="1"/>
    <col min="5403" max="5403" width="9.69140625" style="85" customWidth="1"/>
    <col min="5404" max="5404" width="1.07421875" style="85" customWidth="1"/>
    <col min="5405" max="5405" width="8.53515625" style="85" customWidth="1"/>
    <col min="5406" max="5406" width="14.53515625" style="85" customWidth="1"/>
    <col min="5407" max="5407" width="10" style="85" customWidth="1"/>
    <col min="5408" max="5408" width="7.69140625" style="85" bestFit="1" customWidth="1"/>
    <col min="5409" max="5409" width="9.69140625" style="85" customWidth="1"/>
    <col min="5410" max="5626" width="8.69140625" style="85"/>
    <col min="5627" max="5627" width="38.4609375" style="85" customWidth="1"/>
    <col min="5628" max="5628" width="8.53515625" style="85" customWidth="1"/>
    <col min="5629" max="5629" width="1.07421875" style="85" customWidth="1"/>
    <col min="5630" max="5630" width="8.69140625" style="85" customWidth="1"/>
    <col min="5631" max="5631" width="1.07421875" style="85" customWidth="1"/>
    <col min="5632" max="5632" width="9.07421875" style="85" customWidth="1"/>
    <col min="5633" max="5633" width="1.07421875" style="85" customWidth="1"/>
    <col min="5634" max="5634" width="10" style="85" customWidth="1"/>
    <col min="5635" max="5635" width="1.07421875" style="85" customWidth="1"/>
    <col min="5636" max="5636" width="9.07421875" style="85" customWidth="1"/>
    <col min="5637" max="5637" width="1.07421875" style="85" customWidth="1"/>
    <col min="5638" max="5638" width="11.07421875" style="85" customWidth="1"/>
    <col min="5639" max="5639" width="1.07421875" style="85" customWidth="1"/>
    <col min="5640" max="5640" width="9.07421875" style="85" customWidth="1"/>
    <col min="5641" max="5641" width="1.69140625" style="85" customWidth="1"/>
    <col min="5642" max="5642" width="11" style="85" customWidth="1"/>
    <col min="5643" max="5643" width="1.07421875" style="85" customWidth="1"/>
    <col min="5644" max="5644" width="10.69140625" style="85" customWidth="1"/>
    <col min="5645" max="5645" width="1.07421875" style="85" customWidth="1"/>
    <col min="5646" max="5646" width="10" style="85" customWidth="1"/>
    <col min="5647" max="5647" width="1.07421875" style="85" customWidth="1"/>
    <col min="5648" max="5648" width="9.07421875" style="85" customWidth="1"/>
    <col min="5649" max="5649" width="1.07421875" style="85" customWidth="1"/>
    <col min="5650" max="5650" width="7.69140625" style="85" customWidth="1"/>
    <col min="5651" max="5651" width="1.07421875" style="85" customWidth="1"/>
    <col min="5652" max="5652" width="0.69140625" style="85" customWidth="1"/>
    <col min="5653" max="5653" width="9.07421875" style="85" customWidth="1"/>
    <col min="5654" max="5654" width="1.07421875" style="85" customWidth="1"/>
    <col min="5655" max="5655" width="0.69140625" style="85" customWidth="1"/>
    <col min="5656" max="5656" width="9.53515625" style="85" bestFit="1" customWidth="1"/>
    <col min="5657" max="5658" width="0.69140625" style="85" customWidth="1"/>
    <col min="5659" max="5659" width="9.69140625" style="85" customWidth="1"/>
    <col min="5660" max="5660" width="1.07421875" style="85" customWidth="1"/>
    <col min="5661" max="5661" width="8.53515625" style="85" customWidth="1"/>
    <col min="5662" max="5662" width="14.53515625" style="85" customWidth="1"/>
    <col min="5663" max="5663" width="10" style="85" customWidth="1"/>
    <col min="5664" max="5664" width="7.69140625" style="85" bestFit="1" customWidth="1"/>
    <col min="5665" max="5665" width="9.69140625" style="85" customWidth="1"/>
    <col min="5666" max="5882" width="8.69140625" style="85"/>
    <col min="5883" max="5883" width="38.4609375" style="85" customWidth="1"/>
    <col min="5884" max="5884" width="8.53515625" style="85" customWidth="1"/>
    <col min="5885" max="5885" width="1.07421875" style="85" customWidth="1"/>
    <col min="5886" max="5886" width="8.69140625" style="85" customWidth="1"/>
    <col min="5887" max="5887" width="1.07421875" style="85" customWidth="1"/>
    <col min="5888" max="5888" width="9.07421875" style="85" customWidth="1"/>
    <col min="5889" max="5889" width="1.07421875" style="85" customWidth="1"/>
    <col min="5890" max="5890" width="10" style="85" customWidth="1"/>
    <col min="5891" max="5891" width="1.07421875" style="85" customWidth="1"/>
    <col min="5892" max="5892" width="9.07421875" style="85" customWidth="1"/>
    <col min="5893" max="5893" width="1.07421875" style="85" customWidth="1"/>
    <col min="5894" max="5894" width="11.07421875" style="85" customWidth="1"/>
    <col min="5895" max="5895" width="1.07421875" style="85" customWidth="1"/>
    <col min="5896" max="5896" width="9.07421875" style="85" customWidth="1"/>
    <col min="5897" max="5897" width="1.69140625" style="85" customWidth="1"/>
    <col min="5898" max="5898" width="11" style="85" customWidth="1"/>
    <col min="5899" max="5899" width="1.07421875" style="85" customWidth="1"/>
    <col min="5900" max="5900" width="10.69140625" style="85" customWidth="1"/>
    <col min="5901" max="5901" width="1.07421875" style="85" customWidth="1"/>
    <col min="5902" max="5902" width="10" style="85" customWidth="1"/>
    <col min="5903" max="5903" width="1.07421875" style="85" customWidth="1"/>
    <col min="5904" max="5904" width="9.07421875" style="85" customWidth="1"/>
    <col min="5905" max="5905" width="1.07421875" style="85" customWidth="1"/>
    <col min="5906" max="5906" width="7.69140625" style="85" customWidth="1"/>
    <col min="5907" max="5907" width="1.07421875" style="85" customWidth="1"/>
    <col min="5908" max="5908" width="0.69140625" style="85" customWidth="1"/>
    <col min="5909" max="5909" width="9.07421875" style="85" customWidth="1"/>
    <col min="5910" max="5910" width="1.07421875" style="85" customWidth="1"/>
    <col min="5911" max="5911" width="0.69140625" style="85" customWidth="1"/>
    <col min="5912" max="5912" width="9.53515625" style="85" bestFit="1" customWidth="1"/>
    <col min="5913" max="5914" width="0.69140625" style="85" customWidth="1"/>
    <col min="5915" max="5915" width="9.69140625" style="85" customWidth="1"/>
    <col min="5916" max="5916" width="1.07421875" style="85" customWidth="1"/>
    <col min="5917" max="5917" width="8.53515625" style="85" customWidth="1"/>
    <col min="5918" max="5918" width="14.53515625" style="85" customWidth="1"/>
    <col min="5919" max="5919" width="10" style="85" customWidth="1"/>
    <col min="5920" max="5920" width="7.69140625" style="85" bestFit="1" customWidth="1"/>
    <col min="5921" max="5921" width="9.69140625" style="85" customWidth="1"/>
    <col min="5922" max="6138" width="8.69140625" style="85"/>
    <col min="6139" max="6139" width="38.4609375" style="85" customWidth="1"/>
    <col min="6140" max="6140" width="8.53515625" style="85" customWidth="1"/>
    <col min="6141" max="6141" width="1.07421875" style="85" customWidth="1"/>
    <col min="6142" max="6142" width="8.69140625" style="85" customWidth="1"/>
    <col min="6143" max="6143" width="1.07421875" style="85" customWidth="1"/>
    <col min="6144" max="6144" width="9.07421875" style="85" customWidth="1"/>
    <col min="6145" max="6145" width="1.07421875" style="85" customWidth="1"/>
    <col min="6146" max="6146" width="10" style="85" customWidth="1"/>
    <col min="6147" max="6147" width="1.07421875" style="85" customWidth="1"/>
    <col min="6148" max="6148" width="9.07421875" style="85" customWidth="1"/>
    <col min="6149" max="6149" width="1.07421875" style="85" customWidth="1"/>
    <col min="6150" max="6150" width="11.07421875" style="85" customWidth="1"/>
    <col min="6151" max="6151" width="1.07421875" style="85" customWidth="1"/>
    <col min="6152" max="6152" width="9.07421875" style="85" customWidth="1"/>
    <col min="6153" max="6153" width="1.69140625" style="85" customWidth="1"/>
    <col min="6154" max="6154" width="11" style="85" customWidth="1"/>
    <col min="6155" max="6155" width="1.07421875" style="85" customWidth="1"/>
    <col min="6156" max="6156" width="10.69140625" style="85" customWidth="1"/>
    <col min="6157" max="6157" width="1.07421875" style="85" customWidth="1"/>
    <col min="6158" max="6158" width="10" style="85" customWidth="1"/>
    <col min="6159" max="6159" width="1.07421875" style="85" customWidth="1"/>
    <col min="6160" max="6160" width="9.07421875" style="85" customWidth="1"/>
    <col min="6161" max="6161" width="1.07421875" style="85" customWidth="1"/>
    <col min="6162" max="6162" width="7.69140625" style="85" customWidth="1"/>
    <col min="6163" max="6163" width="1.07421875" style="85" customWidth="1"/>
    <col min="6164" max="6164" width="0.69140625" style="85" customWidth="1"/>
    <col min="6165" max="6165" width="9.07421875" style="85" customWidth="1"/>
    <col min="6166" max="6166" width="1.07421875" style="85" customWidth="1"/>
    <col min="6167" max="6167" width="0.69140625" style="85" customWidth="1"/>
    <col min="6168" max="6168" width="9.53515625" style="85" bestFit="1" customWidth="1"/>
    <col min="6169" max="6170" width="0.69140625" style="85" customWidth="1"/>
    <col min="6171" max="6171" width="9.69140625" style="85" customWidth="1"/>
    <col min="6172" max="6172" width="1.07421875" style="85" customWidth="1"/>
    <col min="6173" max="6173" width="8.53515625" style="85" customWidth="1"/>
    <col min="6174" max="6174" width="14.53515625" style="85" customWidth="1"/>
    <col min="6175" max="6175" width="10" style="85" customWidth="1"/>
    <col min="6176" max="6176" width="7.69140625" style="85" bestFit="1" customWidth="1"/>
    <col min="6177" max="6177" width="9.69140625" style="85" customWidth="1"/>
    <col min="6178" max="6394" width="8.69140625" style="85"/>
    <col min="6395" max="6395" width="38.4609375" style="85" customWidth="1"/>
    <col min="6396" max="6396" width="8.53515625" style="85" customWidth="1"/>
    <col min="6397" max="6397" width="1.07421875" style="85" customWidth="1"/>
    <col min="6398" max="6398" width="8.69140625" style="85" customWidth="1"/>
    <col min="6399" max="6399" width="1.07421875" style="85" customWidth="1"/>
    <col min="6400" max="6400" width="9.07421875" style="85" customWidth="1"/>
    <col min="6401" max="6401" width="1.07421875" style="85" customWidth="1"/>
    <col min="6402" max="6402" width="10" style="85" customWidth="1"/>
    <col min="6403" max="6403" width="1.07421875" style="85" customWidth="1"/>
    <col min="6404" max="6404" width="9.07421875" style="85" customWidth="1"/>
    <col min="6405" max="6405" width="1.07421875" style="85" customWidth="1"/>
    <col min="6406" max="6406" width="11.07421875" style="85" customWidth="1"/>
    <col min="6407" max="6407" width="1.07421875" style="85" customWidth="1"/>
    <col min="6408" max="6408" width="9.07421875" style="85" customWidth="1"/>
    <col min="6409" max="6409" width="1.69140625" style="85" customWidth="1"/>
    <col min="6410" max="6410" width="11" style="85" customWidth="1"/>
    <col min="6411" max="6411" width="1.07421875" style="85" customWidth="1"/>
    <col min="6412" max="6412" width="10.69140625" style="85" customWidth="1"/>
    <col min="6413" max="6413" width="1.07421875" style="85" customWidth="1"/>
    <col min="6414" max="6414" width="10" style="85" customWidth="1"/>
    <col min="6415" max="6415" width="1.07421875" style="85" customWidth="1"/>
    <col min="6416" max="6416" width="9.07421875" style="85" customWidth="1"/>
    <col min="6417" max="6417" width="1.07421875" style="85" customWidth="1"/>
    <col min="6418" max="6418" width="7.69140625" style="85" customWidth="1"/>
    <col min="6419" max="6419" width="1.07421875" style="85" customWidth="1"/>
    <col min="6420" max="6420" width="0.69140625" style="85" customWidth="1"/>
    <col min="6421" max="6421" width="9.07421875" style="85" customWidth="1"/>
    <col min="6422" max="6422" width="1.07421875" style="85" customWidth="1"/>
    <col min="6423" max="6423" width="0.69140625" style="85" customWidth="1"/>
    <col min="6424" max="6424" width="9.53515625" style="85" bestFit="1" customWidth="1"/>
    <col min="6425" max="6426" width="0.69140625" style="85" customWidth="1"/>
    <col min="6427" max="6427" width="9.69140625" style="85" customWidth="1"/>
    <col min="6428" max="6428" width="1.07421875" style="85" customWidth="1"/>
    <col min="6429" max="6429" width="8.53515625" style="85" customWidth="1"/>
    <col min="6430" max="6430" width="14.53515625" style="85" customWidth="1"/>
    <col min="6431" max="6431" width="10" style="85" customWidth="1"/>
    <col min="6432" max="6432" width="7.69140625" style="85" bestFit="1" customWidth="1"/>
    <col min="6433" max="6433" width="9.69140625" style="85" customWidth="1"/>
    <col min="6434" max="6650" width="8.69140625" style="85"/>
    <col min="6651" max="6651" width="38.4609375" style="85" customWidth="1"/>
    <col min="6652" max="6652" width="8.53515625" style="85" customWidth="1"/>
    <col min="6653" max="6653" width="1.07421875" style="85" customWidth="1"/>
    <col min="6654" max="6654" width="8.69140625" style="85" customWidth="1"/>
    <col min="6655" max="6655" width="1.07421875" style="85" customWidth="1"/>
    <col min="6656" max="6656" width="9.07421875" style="85" customWidth="1"/>
    <col min="6657" max="6657" width="1.07421875" style="85" customWidth="1"/>
    <col min="6658" max="6658" width="10" style="85" customWidth="1"/>
    <col min="6659" max="6659" width="1.07421875" style="85" customWidth="1"/>
    <col min="6660" max="6660" width="9.07421875" style="85" customWidth="1"/>
    <col min="6661" max="6661" width="1.07421875" style="85" customWidth="1"/>
    <col min="6662" max="6662" width="11.07421875" style="85" customWidth="1"/>
    <col min="6663" max="6663" width="1.07421875" style="85" customWidth="1"/>
    <col min="6664" max="6664" width="9.07421875" style="85" customWidth="1"/>
    <col min="6665" max="6665" width="1.69140625" style="85" customWidth="1"/>
    <col min="6666" max="6666" width="11" style="85" customWidth="1"/>
    <col min="6667" max="6667" width="1.07421875" style="85" customWidth="1"/>
    <col min="6668" max="6668" width="10.69140625" style="85" customWidth="1"/>
    <col min="6669" max="6669" width="1.07421875" style="85" customWidth="1"/>
    <col min="6670" max="6670" width="10" style="85" customWidth="1"/>
    <col min="6671" max="6671" width="1.07421875" style="85" customWidth="1"/>
    <col min="6672" max="6672" width="9.07421875" style="85" customWidth="1"/>
    <col min="6673" max="6673" width="1.07421875" style="85" customWidth="1"/>
    <col min="6674" max="6674" width="7.69140625" style="85" customWidth="1"/>
    <col min="6675" max="6675" width="1.07421875" style="85" customWidth="1"/>
    <col min="6676" max="6676" width="0.69140625" style="85" customWidth="1"/>
    <col min="6677" max="6677" width="9.07421875" style="85" customWidth="1"/>
    <col min="6678" max="6678" width="1.07421875" style="85" customWidth="1"/>
    <col min="6679" max="6679" width="0.69140625" style="85" customWidth="1"/>
    <col min="6680" max="6680" width="9.53515625" style="85" bestFit="1" customWidth="1"/>
    <col min="6681" max="6682" width="0.69140625" style="85" customWidth="1"/>
    <col min="6683" max="6683" width="9.69140625" style="85" customWidth="1"/>
    <col min="6684" max="6684" width="1.07421875" style="85" customWidth="1"/>
    <col min="6685" max="6685" width="8.53515625" style="85" customWidth="1"/>
    <col min="6686" max="6686" width="14.53515625" style="85" customWidth="1"/>
    <col min="6687" max="6687" width="10" style="85" customWidth="1"/>
    <col min="6688" max="6688" width="7.69140625" style="85" bestFit="1" customWidth="1"/>
    <col min="6689" max="6689" width="9.69140625" style="85" customWidth="1"/>
    <col min="6690" max="6906" width="8.69140625" style="85"/>
    <col min="6907" max="6907" width="38.4609375" style="85" customWidth="1"/>
    <col min="6908" max="6908" width="8.53515625" style="85" customWidth="1"/>
    <col min="6909" max="6909" width="1.07421875" style="85" customWidth="1"/>
    <col min="6910" max="6910" width="8.69140625" style="85" customWidth="1"/>
    <col min="6911" max="6911" width="1.07421875" style="85" customWidth="1"/>
    <col min="6912" max="6912" width="9.07421875" style="85" customWidth="1"/>
    <col min="6913" max="6913" width="1.07421875" style="85" customWidth="1"/>
    <col min="6914" max="6914" width="10" style="85" customWidth="1"/>
    <col min="6915" max="6915" width="1.07421875" style="85" customWidth="1"/>
    <col min="6916" max="6916" width="9.07421875" style="85" customWidth="1"/>
    <col min="6917" max="6917" width="1.07421875" style="85" customWidth="1"/>
    <col min="6918" max="6918" width="11.07421875" style="85" customWidth="1"/>
    <col min="6919" max="6919" width="1.07421875" style="85" customWidth="1"/>
    <col min="6920" max="6920" width="9.07421875" style="85" customWidth="1"/>
    <col min="6921" max="6921" width="1.69140625" style="85" customWidth="1"/>
    <col min="6922" max="6922" width="11" style="85" customWidth="1"/>
    <col min="6923" max="6923" width="1.07421875" style="85" customWidth="1"/>
    <col min="6924" max="6924" width="10.69140625" style="85" customWidth="1"/>
    <col min="6925" max="6925" width="1.07421875" style="85" customWidth="1"/>
    <col min="6926" max="6926" width="10" style="85" customWidth="1"/>
    <col min="6927" max="6927" width="1.07421875" style="85" customWidth="1"/>
    <col min="6928" max="6928" width="9.07421875" style="85" customWidth="1"/>
    <col min="6929" max="6929" width="1.07421875" style="85" customWidth="1"/>
    <col min="6930" max="6930" width="7.69140625" style="85" customWidth="1"/>
    <col min="6931" max="6931" width="1.07421875" style="85" customWidth="1"/>
    <col min="6932" max="6932" width="0.69140625" style="85" customWidth="1"/>
    <col min="6933" max="6933" width="9.07421875" style="85" customWidth="1"/>
    <col min="6934" max="6934" width="1.07421875" style="85" customWidth="1"/>
    <col min="6935" max="6935" width="0.69140625" style="85" customWidth="1"/>
    <col min="6936" max="6936" width="9.53515625" style="85" bestFit="1" customWidth="1"/>
    <col min="6937" max="6938" width="0.69140625" style="85" customWidth="1"/>
    <col min="6939" max="6939" width="9.69140625" style="85" customWidth="1"/>
    <col min="6940" max="6940" width="1.07421875" style="85" customWidth="1"/>
    <col min="6941" max="6941" width="8.53515625" style="85" customWidth="1"/>
    <col min="6942" max="6942" width="14.53515625" style="85" customWidth="1"/>
    <col min="6943" max="6943" width="10" style="85" customWidth="1"/>
    <col min="6944" max="6944" width="7.69140625" style="85" bestFit="1" customWidth="1"/>
    <col min="6945" max="6945" width="9.69140625" style="85" customWidth="1"/>
    <col min="6946" max="7162" width="8.69140625" style="85"/>
    <col min="7163" max="7163" width="38.4609375" style="85" customWidth="1"/>
    <col min="7164" max="7164" width="8.53515625" style="85" customWidth="1"/>
    <col min="7165" max="7165" width="1.07421875" style="85" customWidth="1"/>
    <col min="7166" max="7166" width="8.69140625" style="85" customWidth="1"/>
    <col min="7167" max="7167" width="1.07421875" style="85" customWidth="1"/>
    <col min="7168" max="7168" width="9.07421875" style="85" customWidth="1"/>
    <col min="7169" max="7169" width="1.07421875" style="85" customWidth="1"/>
    <col min="7170" max="7170" width="10" style="85" customWidth="1"/>
    <col min="7171" max="7171" width="1.07421875" style="85" customWidth="1"/>
    <col min="7172" max="7172" width="9.07421875" style="85" customWidth="1"/>
    <col min="7173" max="7173" width="1.07421875" style="85" customWidth="1"/>
    <col min="7174" max="7174" width="11.07421875" style="85" customWidth="1"/>
    <col min="7175" max="7175" width="1.07421875" style="85" customWidth="1"/>
    <col min="7176" max="7176" width="9.07421875" style="85" customWidth="1"/>
    <col min="7177" max="7177" width="1.69140625" style="85" customWidth="1"/>
    <col min="7178" max="7178" width="11" style="85" customWidth="1"/>
    <col min="7179" max="7179" width="1.07421875" style="85" customWidth="1"/>
    <col min="7180" max="7180" width="10.69140625" style="85" customWidth="1"/>
    <col min="7181" max="7181" width="1.07421875" style="85" customWidth="1"/>
    <col min="7182" max="7182" width="10" style="85" customWidth="1"/>
    <col min="7183" max="7183" width="1.07421875" style="85" customWidth="1"/>
    <col min="7184" max="7184" width="9.07421875" style="85" customWidth="1"/>
    <col min="7185" max="7185" width="1.07421875" style="85" customWidth="1"/>
    <col min="7186" max="7186" width="7.69140625" style="85" customWidth="1"/>
    <col min="7187" max="7187" width="1.07421875" style="85" customWidth="1"/>
    <col min="7188" max="7188" width="0.69140625" style="85" customWidth="1"/>
    <col min="7189" max="7189" width="9.07421875" style="85" customWidth="1"/>
    <col min="7190" max="7190" width="1.07421875" style="85" customWidth="1"/>
    <col min="7191" max="7191" width="0.69140625" style="85" customWidth="1"/>
    <col min="7192" max="7192" width="9.53515625" style="85" bestFit="1" customWidth="1"/>
    <col min="7193" max="7194" width="0.69140625" style="85" customWidth="1"/>
    <col min="7195" max="7195" width="9.69140625" style="85" customWidth="1"/>
    <col min="7196" max="7196" width="1.07421875" style="85" customWidth="1"/>
    <col min="7197" max="7197" width="8.53515625" style="85" customWidth="1"/>
    <col min="7198" max="7198" width="14.53515625" style="85" customWidth="1"/>
    <col min="7199" max="7199" width="10" style="85" customWidth="1"/>
    <col min="7200" max="7200" width="7.69140625" style="85" bestFit="1" customWidth="1"/>
    <col min="7201" max="7201" width="9.69140625" style="85" customWidth="1"/>
    <col min="7202" max="7418" width="8.69140625" style="85"/>
    <col min="7419" max="7419" width="38.4609375" style="85" customWidth="1"/>
    <col min="7420" max="7420" width="8.53515625" style="85" customWidth="1"/>
    <col min="7421" max="7421" width="1.07421875" style="85" customWidth="1"/>
    <col min="7422" max="7422" width="8.69140625" style="85" customWidth="1"/>
    <col min="7423" max="7423" width="1.07421875" style="85" customWidth="1"/>
    <col min="7424" max="7424" width="9.07421875" style="85" customWidth="1"/>
    <col min="7425" max="7425" width="1.07421875" style="85" customWidth="1"/>
    <col min="7426" max="7426" width="10" style="85" customWidth="1"/>
    <col min="7427" max="7427" width="1.07421875" style="85" customWidth="1"/>
    <col min="7428" max="7428" width="9.07421875" style="85" customWidth="1"/>
    <col min="7429" max="7429" width="1.07421875" style="85" customWidth="1"/>
    <col min="7430" max="7430" width="11.07421875" style="85" customWidth="1"/>
    <col min="7431" max="7431" width="1.07421875" style="85" customWidth="1"/>
    <col min="7432" max="7432" width="9.07421875" style="85" customWidth="1"/>
    <col min="7433" max="7433" width="1.69140625" style="85" customWidth="1"/>
    <col min="7434" max="7434" width="11" style="85" customWidth="1"/>
    <col min="7435" max="7435" width="1.07421875" style="85" customWidth="1"/>
    <col min="7436" max="7436" width="10.69140625" style="85" customWidth="1"/>
    <col min="7437" max="7437" width="1.07421875" style="85" customWidth="1"/>
    <col min="7438" max="7438" width="10" style="85" customWidth="1"/>
    <col min="7439" max="7439" width="1.07421875" style="85" customWidth="1"/>
    <col min="7440" max="7440" width="9.07421875" style="85" customWidth="1"/>
    <col min="7441" max="7441" width="1.07421875" style="85" customWidth="1"/>
    <col min="7442" max="7442" width="7.69140625" style="85" customWidth="1"/>
    <col min="7443" max="7443" width="1.07421875" style="85" customWidth="1"/>
    <col min="7444" max="7444" width="0.69140625" style="85" customWidth="1"/>
    <col min="7445" max="7445" width="9.07421875" style="85" customWidth="1"/>
    <col min="7446" max="7446" width="1.07421875" style="85" customWidth="1"/>
    <col min="7447" max="7447" width="0.69140625" style="85" customWidth="1"/>
    <col min="7448" max="7448" width="9.53515625" style="85" bestFit="1" customWidth="1"/>
    <col min="7449" max="7450" width="0.69140625" style="85" customWidth="1"/>
    <col min="7451" max="7451" width="9.69140625" style="85" customWidth="1"/>
    <col min="7452" max="7452" width="1.07421875" style="85" customWidth="1"/>
    <col min="7453" max="7453" width="8.53515625" style="85" customWidth="1"/>
    <col min="7454" max="7454" width="14.53515625" style="85" customWidth="1"/>
    <col min="7455" max="7455" width="10" style="85" customWidth="1"/>
    <col min="7456" max="7456" width="7.69140625" style="85" bestFit="1" customWidth="1"/>
    <col min="7457" max="7457" width="9.69140625" style="85" customWidth="1"/>
    <col min="7458" max="7674" width="8.69140625" style="85"/>
    <col min="7675" max="7675" width="38.4609375" style="85" customWidth="1"/>
    <col min="7676" max="7676" width="8.53515625" style="85" customWidth="1"/>
    <col min="7677" max="7677" width="1.07421875" style="85" customWidth="1"/>
    <col min="7678" max="7678" width="8.69140625" style="85" customWidth="1"/>
    <col min="7679" max="7679" width="1.07421875" style="85" customWidth="1"/>
    <col min="7680" max="7680" width="9.07421875" style="85" customWidth="1"/>
    <col min="7681" max="7681" width="1.07421875" style="85" customWidth="1"/>
    <col min="7682" max="7682" width="10" style="85" customWidth="1"/>
    <col min="7683" max="7683" width="1.07421875" style="85" customWidth="1"/>
    <col min="7684" max="7684" width="9.07421875" style="85" customWidth="1"/>
    <col min="7685" max="7685" width="1.07421875" style="85" customWidth="1"/>
    <col min="7686" max="7686" width="11.07421875" style="85" customWidth="1"/>
    <col min="7687" max="7687" width="1.07421875" style="85" customWidth="1"/>
    <col min="7688" max="7688" width="9.07421875" style="85" customWidth="1"/>
    <col min="7689" max="7689" width="1.69140625" style="85" customWidth="1"/>
    <col min="7690" max="7690" width="11" style="85" customWidth="1"/>
    <col min="7691" max="7691" width="1.07421875" style="85" customWidth="1"/>
    <col min="7692" max="7692" width="10.69140625" style="85" customWidth="1"/>
    <col min="7693" max="7693" width="1.07421875" style="85" customWidth="1"/>
    <col min="7694" max="7694" width="10" style="85" customWidth="1"/>
    <col min="7695" max="7695" width="1.07421875" style="85" customWidth="1"/>
    <col min="7696" max="7696" width="9.07421875" style="85" customWidth="1"/>
    <col min="7697" max="7697" width="1.07421875" style="85" customWidth="1"/>
    <col min="7698" max="7698" width="7.69140625" style="85" customWidth="1"/>
    <col min="7699" max="7699" width="1.07421875" style="85" customWidth="1"/>
    <col min="7700" max="7700" width="0.69140625" style="85" customWidth="1"/>
    <col min="7701" max="7701" width="9.07421875" style="85" customWidth="1"/>
    <col min="7702" max="7702" width="1.07421875" style="85" customWidth="1"/>
    <col min="7703" max="7703" width="0.69140625" style="85" customWidth="1"/>
    <col min="7704" max="7704" width="9.53515625" style="85" bestFit="1" customWidth="1"/>
    <col min="7705" max="7706" width="0.69140625" style="85" customWidth="1"/>
    <col min="7707" max="7707" width="9.69140625" style="85" customWidth="1"/>
    <col min="7708" max="7708" width="1.07421875" style="85" customWidth="1"/>
    <col min="7709" max="7709" width="8.53515625" style="85" customWidth="1"/>
    <col min="7710" max="7710" width="14.53515625" style="85" customWidth="1"/>
    <col min="7711" max="7711" width="10" style="85" customWidth="1"/>
    <col min="7712" max="7712" width="7.69140625" style="85" bestFit="1" customWidth="1"/>
    <col min="7713" max="7713" width="9.69140625" style="85" customWidth="1"/>
    <col min="7714" max="7930" width="8.69140625" style="85"/>
    <col min="7931" max="7931" width="38.4609375" style="85" customWidth="1"/>
    <col min="7932" max="7932" width="8.53515625" style="85" customWidth="1"/>
    <col min="7933" max="7933" width="1.07421875" style="85" customWidth="1"/>
    <col min="7934" max="7934" width="8.69140625" style="85" customWidth="1"/>
    <col min="7935" max="7935" width="1.07421875" style="85" customWidth="1"/>
    <col min="7936" max="7936" width="9.07421875" style="85" customWidth="1"/>
    <col min="7937" max="7937" width="1.07421875" style="85" customWidth="1"/>
    <col min="7938" max="7938" width="10" style="85" customWidth="1"/>
    <col min="7939" max="7939" width="1.07421875" style="85" customWidth="1"/>
    <col min="7940" max="7940" width="9.07421875" style="85" customWidth="1"/>
    <col min="7941" max="7941" width="1.07421875" style="85" customWidth="1"/>
    <col min="7942" max="7942" width="11.07421875" style="85" customWidth="1"/>
    <col min="7943" max="7943" width="1.07421875" style="85" customWidth="1"/>
    <col min="7944" max="7944" width="9.07421875" style="85" customWidth="1"/>
    <col min="7945" max="7945" width="1.69140625" style="85" customWidth="1"/>
    <col min="7946" max="7946" width="11" style="85" customWidth="1"/>
    <col min="7947" max="7947" width="1.07421875" style="85" customWidth="1"/>
    <col min="7948" max="7948" width="10.69140625" style="85" customWidth="1"/>
    <col min="7949" max="7949" width="1.07421875" style="85" customWidth="1"/>
    <col min="7950" max="7950" width="10" style="85" customWidth="1"/>
    <col min="7951" max="7951" width="1.07421875" style="85" customWidth="1"/>
    <col min="7952" max="7952" width="9.07421875" style="85" customWidth="1"/>
    <col min="7953" max="7953" width="1.07421875" style="85" customWidth="1"/>
    <col min="7954" max="7954" width="7.69140625" style="85" customWidth="1"/>
    <col min="7955" max="7955" width="1.07421875" style="85" customWidth="1"/>
    <col min="7956" max="7956" width="0.69140625" style="85" customWidth="1"/>
    <col min="7957" max="7957" width="9.07421875" style="85" customWidth="1"/>
    <col min="7958" max="7958" width="1.07421875" style="85" customWidth="1"/>
    <col min="7959" max="7959" width="0.69140625" style="85" customWidth="1"/>
    <col min="7960" max="7960" width="9.53515625" style="85" bestFit="1" customWidth="1"/>
    <col min="7961" max="7962" width="0.69140625" style="85" customWidth="1"/>
    <col min="7963" max="7963" width="9.69140625" style="85" customWidth="1"/>
    <col min="7964" max="7964" width="1.07421875" style="85" customWidth="1"/>
    <col min="7965" max="7965" width="8.53515625" style="85" customWidth="1"/>
    <col min="7966" max="7966" width="14.53515625" style="85" customWidth="1"/>
    <col min="7967" max="7967" width="10" style="85" customWidth="1"/>
    <col min="7968" max="7968" width="7.69140625" style="85" bestFit="1" customWidth="1"/>
    <col min="7969" max="7969" width="9.69140625" style="85" customWidth="1"/>
    <col min="7970" max="8186" width="8.69140625" style="85"/>
    <col min="8187" max="8187" width="38.4609375" style="85" customWidth="1"/>
    <col min="8188" max="8188" width="8.53515625" style="85" customWidth="1"/>
    <col min="8189" max="8189" width="1.07421875" style="85" customWidth="1"/>
    <col min="8190" max="8190" width="8.69140625" style="85" customWidth="1"/>
    <col min="8191" max="8191" width="1.07421875" style="85" customWidth="1"/>
    <col min="8192" max="8192" width="9.07421875" style="85" customWidth="1"/>
    <col min="8193" max="8193" width="1.07421875" style="85" customWidth="1"/>
    <col min="8194" max="8194" width="10" style="85" customWidth="1"/>
    <col min="8195" max="8195" width="1.07421875" style="85" customWidth="1"/>
    <col min="8196" max="8196" width="9.07421875" style="85" customWidth="1"/>
    <col min="8197" max="8197" width="1.07421875" style="85" customWidth="1"/>
    <col min="8198" max="8198" width="11.07421875" style="85" customWidth="1"/>
    <col min="8199" max="8199" width="1.07421875" style="85" customWidth="1"/>
    <col min="8200" max="8200" width="9.07421875" style="85" customWidth="1"/>
    <col min="8201" max="8201" width="1.69140625" style="85" customWidth="1"/>
    <col min="8202" max="8202" width="11" style="85" customWidth="1"/>
    <col min="8203" max="8203" width="1.07421875" style="85" customWidth="1"/>
    <col min="8204" max="8204" width="10.69140625" style="85" customWidth="1"/>
    <col min="8205" max="8205" width="1.07421875" style="85" customWidth="1"/>
    <col min="8206" max="8206" width="10" style="85" customWidth="1"/>
    <col min="8207" max="8207" width="1.07421875" style="85" customWidth="1"/>
    <col min="8208" max="8208" width="9.07421875" style="85" customWidth="1"/>
    <col min="8209" max="8209" width="1.07421875" style="85" customWidth="1"/>
    <col min="8210" max="8210" width="7.69140625" style="85" customWidth="1"/>
    <col min="8211" max="8211" width="1.07421875" style="85" customWidth="1"/>
    <col min="8212" max="8212" width="0.69140625" style="85" customWidth="1"/>
    <col min="8213" max="8213" width="9.07421875" style="85" customWidth="1"/>
    <col min="8214" max="8214" width="1.07421875" style="85" customWidth="1"/>
    <col min="8215" max="8215" width="0.69140625" style="85" customWidth="1"/>
    <col min="8216" max="8216" width="9.53515625" style="85" bestFit="1" customWidth="1"/>
    <col min="8217" max="8218" width="0.69140625" style="85" customWidth="1"/>
    <col min="8219" max="8219" width="9.69140625" style="85" customWidth="1"/>
    <col min="8220" max="8220" width="1.07421875" style="85" customWidth="1"/>
    <col min="8221" max="8221" width="8.53515625" style="85" customWidth="1"/>
    <col min="8222" max="8222" width="14.53515625" style="85" customWidth="1"/>
    <col min="8223" max="8223" width="10" style="85" customWidth="1"/>
    <col min="8224" max="8224" width="7.69140625" style="85" bestFit="1" customWidth="1"/>
    <col min="8225" max="8225" width="9.69140625" style="85" customWidth="1"/>
    <col min="8226" max="8442" width="8.69140625" style="85"/>
    <col min="8443" max="8443" width="38.4609375" style="85" customWidth="1"/>
    <col min="8444" max="8444" width="8.53515625" style="85" customWidth="1"/>
    <col min="8445" max="8445" width="1.07421875" style="85" customWidth="1"/>
    <col min="8446" max="8446" width="8.69140625" style="85" customWidth="1"/>
    <col min="8447" max="8447" width="1.07421875" style="85" customWidth="1"/>
    <col min="8448" max="8448" width="9.07421875" style="85" customWidth="1"/>
    <col min="8449" max="8449" width="1.07421875" style="85" customWidth="1"/>
    <col min="8450" max="8450" width="10" style="85" customWidth="1"/>
    <col min="8451" max="8451" width="1.07421875" style="85" customWidth="1"/>
    <col min="8452" max="8452" width="9.07421875" style="85" customWidth="1"/>
    <col min="8453" max="8453" width="1.07421875" style="85" customWidth="1"/>
    <col min="8454" max="8454" width="11.07421875" style="85" customWidth="1"/>
    <col min="8455" max="8455" width="1.07421875" style="85" customWidth="1"/>
    <col min="8456" max="8456" width="9.07421875" style="85" customWidth="1"/>
    <col min="8457" max="8457" width="1.69140625" style="85" customWidth="1"/>
    <col min="8458" max="8458" width="11" style="85" customWidth="1"/>
    <col min="8459" max="8459" width="1.07421875" style="85" customWidth="1"/>
    <col min="8460" max="8460" width="10.69140625" style="85" customWidth="1"/>
    <col min="8461" max="8461" width="1.07421875" style="85" customWidth="1"/>
    <col min="8462" max="8462" width="10" style="85" customWidth="1"/>
    <col min="8463" max="8463" width="1.07421875" style="85" customWidth="1"/>
    <col min="8464" max="8464" width="9.07421875" style="85" customWidth="1"/>
    <col min="8465" max="8465" width="1.07421875" style="85" customWidth="1"/>
    <col min="8466" max="8466" width="7.69140625" style="85" customWidth="1"/>
    <col min="8467" max="8467" width="1.07421875" style="85" customWidth="1"/>
    <col min="8468" max="8468" width="0.69140625" style="85" customWidth="1"/>
    <col min="8469" max="8469" width="9.07421875" style="85" customWidth="1"/>
    <col min="8470" max="8470" width="1.07421875" style="85" customWidth="1"/>
    <col min="8471" max="8471" width="0.69140625" style="85" customWidth="1"/>
    <col min="8472" max="8472" width="9.53515625" style="85" bestFit="1" customWidth="1"/>
    <col min="8473" max="8474" width="0.69140625" style="85" customWidth="1"/>
    <col min="8475" max="8475" width="9.69140625" style="85" customWidth="1"/>
    <col min="8476" max="8476" width="1.07421875" style="85" customWidth="1"/>
    <col min="8477" max="8477" width="8.53515625" style="85" customWidth="1"/>
    <col min="8478" max="8478" width="14.53515625" style="85" customWidth="1"/>
    <col min="8479" max="8479" width="10" style="85" customWidth="1"/>
    <col min="8480" max="8480" width="7.69140625" style="85" bestFit="1" customWidth="1"/>
    <col min="8481" max="8481" width="9.69140625" style="85" customWidth="1"/>
    <col min="8482" max="8698" width="8.69140625" style="85"/>
    <col min="8699" max="8699" width="38.4609375" style="85" customWidth="1"/>
    <col min="8700" max="8700" width="8.53515625" style="85" customWidth="1"/>
    <col min="8701" max="8701" width="1.07421875" style="85" customWidth="1"/>
    <col min="8702" max="8702" width="8.69140625" style="85" customWidth="1"/>
    <col min="8703" max="8703" width="1.07421875" style="85" customWidth="1"/>
    <col min="8704" max="8704" width="9.07421875" style="85" customWidth="1"/>
    <col min="8705" max="8705" width="1.07421875" style="85" customWidth="1"/>
    <col min="8706" max="8706" width="10" style="85" customWidth="1"/>
    <col min="8707" max="8707" width="1.07421875" style="85" customWidth="1"/>
    <col min="8708" max="8708" width="9.07421875" style="85" customWidth="1"/>
    <col min="8709" max="8709" width="1.07421875" style="85" customWidth="1"/>
    <col min="8710" max="8710" width="11.07421875" style="85" customWidth="1"/>
    <col min="8711" max="8711" width="1.07421875" style="85" customWidth="1"/>
    <col min="8712" max="8712" width="9.07421875" style="85" customWidth="1"/>
    <col min="8713" max="8713" width="1.69140625" style="85" customWidth="1"/>
    <col min="8714" max="8714" width="11" style="85" customWidth="1"/>
    <col min="8715" max="8715" width="1.07421875" style="85" customWidth="1"/>
    <col min="8716" max="8716" width="10.69140625" style="85" customWidth="1"/>
    <col min="8717" max="8717" width="1.07421875" style="85" customWidth="1"/>
    <col min="8718" max="8718" width="10" style="85" customWidth="1"/>
    <col min="8719" max="8719" width="1.07421875" style="85" customWidth="1"/>
    <col min="8720" max="8720" width="9.07421875" style="85" customWidth="1"/>
    <col min="8721" max="8721" width="1.07421875" style="85" customWidth="1"/>
    <col min="8722" max="8722" width="7.69140625" style="85" customWidth="1"/>
    <col min="8723" max="8723" width="1.07421875" style="85" customWidth="1"/>
    <col min="8724" max="8724" width="0.69140625" style="85" customWidth="1"/>
    <col min="8725" max="8725" width="9.07421875" style="85" customWidth="1"/>
    <col min="8726" max="8726" width="1.07421875" style="85" customWidth="1"/>
    <col min="8727" max="8727" width="0.69140625" style="85" customWidth="1"/>
    <col min="8728" max="8728" width="9.53515625" style="85" bestFit="1" customWidth="1"/>
    <col min="8729" max="8730" width="0.69140625" style="85" customWidth="1"/>
    <col min="8731" max="8731" width="9.69140625" style="85" customWidth="1"/>
    <col min="8732" max="8732" width="1.07421875" style="85" customWidth="1"/>
    <col min="8733" max="8733" width="8.53515625" style="85" customWidth="1"/>
    <col min="8734" max="8734" width="14.53515625" style="85" customWidth="1"/>
    <col min="8735" max="8735" width="10" style="85" customWidth="1"/>
    <col min="8736" max="8736" width="7.69140625" style="85" bestFit="1" customWidth="1"/>
    <col min="8737" max="8737" width="9.69140625" style="85" customWidth="1"/>
    <col min="8738" max="8954" width="8.69140625" style="85"/>
    <col min="8955" max="8955" width="38.4609375" style="85" customWidth="1"/>
    <col min="8956" max="8956" width="8.53515625" style="85" customWidth="1"/>
    <col min="8957" max="8957" width="1.07421875" style="85" customWidth="1"/>
    <col min="8958" max="8958" width="8.69140625" style="85" customWidth="1"/>
    <col min="8959" max="8959" width="1.07421875" style="85" customWidth="1"/>
    <col min="8960" max="8960" width="9.07421875" style="85" customWidth="1"/>
    <col min="8961" max="8961" width="1.07421875" style="85" customWidth="1"/>
    <col min="8962" max="8962" width="10" style="85" customWidth="1"/>
    <col min="8963" max="8963" width="1.07421875" style="85" customWidth="1"/>
    <col min="8964" max="8964" width="9.07421875" style="85" customWidth="1"/>
    <col min="8965" max="8965" width="1.07421875" style="85" customWidth="1"/>
    <col min="8966" max="8966" width="11.07421875" style="85" customWidth="1"/>
    <col min="8967" max="8967" width="1.07421875" style="85" customWidth="1"/>
    <col min="8968" max="8968" width="9.07421875" style="85" customWidth="1"/>
    <col min="8969" max="8969" width="1.69140625" style="85" customWidth="1"/>
    <col min="8970" max="8970" width="11" style="85" customWidth="1"/>
    <col min="8971" max="8971" width="1.07421875" style="85" customWidth="1"/>
    <col min="8972" max="8972" width="10.69140625" style="85" customWidth="1"/>
    <col min="8973" max="8973" width="1.07421875" style="85" customWidth="1"/>
    <col min="8974" max="8974" width="10" style="85" customWidth="1"/>
    <col min="8975" max="8975" width="1.07421875" style="85" customWidth="1"/>
    <col min="8976" max="8976" width="9.07421875" style="85" customWidth="1"/>
    <col min="8977" max="8977" width="1.07421875" style="85" customWidth="1"/>
    <col min="8978" max="8978" width="7.69140625" style="85" customWidth="1"/>
    <col min="8979" max="8979" width="1.07421875" style="85" customWidth="1"/>
    <col min="8980" max="8980" width="0.69140625" style="85" customWidth="1"/>
    <col min="8981" max="8981" width="9.07421875" style="85" customWidth="1"/>
    <col min="8982" max="8982" width="1.07421875" style="85" customWidth="1"/>
    <col min="8983" max="8983" width="0.69140625" style="85" customWidth="1"/>
    <col min="8984" max="8984" width="9.53515625" style="85" bestFit="1" customWidth="1"/>
    <col min="8985" max="8986" width="0.69140625" style="85" customWidth="1"/>
    <col min="8987" max="8987" width="9.69140625" style="85" customWidth="1"/>
    <col min="8988" max="8988" width="1.07421875" style="85" customWidth="1"/>
    <col min="8989" max="8989" width="8.53515625" style="85" customWidth="1"/>
    <col min="8990" max="8990" width="14.53515625" style="85" customWidth="1"/>
    <col min="8991" max="8991" width="10" style="85" customWidth="1"/>
    <col min="8992" max="8992" width="7.69140625" style="85" bestFit="1" customWidth="1"/>
    <col min="8993" max="8993" width="9.69140625" style="85" customWidth="1"/>
    <col min="8994" max="9210" width="8.69140625" style="85"/>
    <col min="9211" max="9211" width="38.4609375" style="85" customWidth="1"/>
    <col min="9212" max="9212" width="8.53515625" style="85" customWidth="1"/>
    <col min="9213" max="9213" width="1.07421875" style="85" customWidth="1"/>
    <col min="9214" max="9214" width="8.69140625" style="85" customWidth="1"/>
    <col min="9215" max="9215" width="1.07421875" style="85" customWidth="1"/>
    <col min="9216" max="9216" width="9.07421875" style="85" customWidth="1"/>
    <col min="9217" max="9217" width="1.07421875" style="85" customWidth="1"/>
    <col min="9218" max="9218" width="10" style="85" customWidth="1"/>
    <col min="9219" max="9219" width="1.07421875" style="85" customWidth="1"/>
    <col min="9220" max="9220" width="9.07421875" style="85" customWidth="1"/>
    <col min="9221" max="9221" width="1.07421875" style="85" customWidth="1"/>
    <col min="9222" max="9222" width="11.07421875" style="85" customWidth="1"/>
    <col min="9223" max="9223" width="1.07421875" style="85" customWidth="1"/>
    <col min="9224" max="9224" width="9.07421875" style="85" customWidth="1"/>
    <col min="9225" max="9225" width="1.69140625" style="85" customWidth="1"/>
    <col min="9226" max="9226" width="11" style="85" customWidth="1"/>
    <col min="9227" max="9227" width="1.07421875" style="85" customWidth="1"/>
    <col min="9228" max="9228" width="10.69140625" style="85" customWidth="1"/>
    <col min="9229" max="9229" width="1.07421875" style="85" customWidth="1"/>
    <col min="9230" max="9230" width="10" style="85" customWidth="1"/>
    <col min="9231" max="9231" width="1.07421875" style="85" customWidth="1"/>
    <col min="9232" max="9232" width="9.07421875" style="85" customWidth="1"/>
    <col min="9233" max="9233" width="1.07421875" style="85" customWidth="1"/>
    <col min="9234" max="9234" width="7.69140625" style="85" customWidth="1"/>
    <col min="9235" max="9235" width="1.07421875" style="85" customWidth="1"/>
    <col min="9236" max="9236" width="0.69140625" style="85" customWidth="1"/>
    <col min="9237" max="9237" width="9.07421875" style="85" customWidth="1"/>
    <col min="9238" max="9238" width="1.07421875" style="85" customWidth="1"/>
    <col min="9239" max="9239" width="0.69140625" style="85" customWidth="1"/>
    <col min="9240" max="9240" width="9.53515625" style="85" bestFit="1" customWidth="1"/>
    <col min="9241" max="9242" width="0.69140625" style="85" customWidth="1"/>
    <col min="9243" max="9243" width="9.69140625" style="85" customWidth="1"/>
    <col min="9244" max="9244" width="1.07421875" style="85" customWidth="1"/>
    <col min="9245" max="9245" width="8.53515625" style="85" customWidth="1"/>
    <col min="9246" max="9246" width="14.53515625" style="85" customWidth="1"/>
    <col min="9247" max="9247" width="10" style="85" customWidth="1"/>
    <col min="9248" max="9248" width="7.69140625" style="85" bestFit="1" customWidth="1"/>
    <col min="9249" max="9249" width="9.69140625" style="85" customWidth="1"/>
    <col min="9250" max="9466" width="8.69140625" style="85"/>
    <col min="9467" max="9467" width="38.4609375" style="85" customWidth="1"/>
    <col min="9468" max="9468" width="8.53515625" style="85" customWidth="1"/>
    <col min="9469" max="9469" width="1.07421875" style="85" customWidth="1"/>
    <col min="9470" max="9470" width="8.69140625" style="85" customWidth="1"/>
    <col min="9471" max="9471" width="1.07421875" style="85" customWidth="1"/>
    <col min="9472" max="9472" width="9.07421875" style="85" customWidth="1"/>
    <col min="9473" max="9473" width="1.07421875" style="85" customWidth="1"/>
    <col min="9474" max="9474" width="10" style="85" customWidth="1"/>
    <col min="9475" max="9475" width="1.07421875" style="85" customWidth="1"/>
    <col min="9476" max="9476" width="9.07421875" style="85" customWidth="1"/>
    <col min="9477" max="9477" width="1.07421875" style="85" customWidth="1"/>
    <col min="9478" max="9478" width="11.07421875" style="85" customWidth="1"/>
    <col min="9479" max="9479" width="1.07421875" style="85" customWidth="1"/>
    <col min="9480" max="9480" width="9.07421875" style="85" customWidth="1"/>
    <col min="9481" max="9481" width="1.69140625" style="85" customWidth="1"/>
    <col min="9482" max="9482" width="11" style="85" customWidth="1"/>
    <col min="9483" max="9483" width="1.07421875" style="85" customWidth="1"/>
    <col min="9484" max="9484" width="10.69140625" style="85" customWidth="1"/>
    <col min="9485" max="9485" width="1.07421875" style="85" customWidth="1"/>
    <col min="9486" max="9486" width="10" style="85" customWidth="1"/>
    <col min="9487" max="9487" width="1.07421875" style="85" customWidth="1"/>
    <col min="9488" max="9488" width="9.07421875" style="85" customWidth="1"/>
    <col min="9489" max="9489" width="1.07421875" style="85" customWidth="1"/>
    <col min="9490" max="9490" width="7.69140625" style="85" customWidth="1"/>
    <col min="9491" max="9491" width="1.07421875" style="85" customWidth="1"/>
    <col min="9492" max="9492" width="0.69140625" style="85" customWidth="1"/>
    <col min="9493" max="9493" width="9.07421875" style="85" customWidth="1"/>
    <col min="9494" max="9494" width="1.07421875" style="85" customWidth="1"/>
    <col min="9495" max="9495" width="0.69140625" style="85" customWidth="1"/>
    <col min="9496" max="9496" width="9.53515625" style="85" bestFit="1" customWidth="1"/>
    <col min="9497" max="9498" width="0.69140625" style="85" customWidth="1"/>
    <col min="9499" max="9499" width="9.69140625" style="85" customWidth="1"/>
    <col min="9500" max="9500" width="1.07421875" style="85" customWidth="1"/>
    <col min="9501" max="9501" width="8.53515625" style="85" customWidth="1"/>
    <col min="9502" max="9502" width="14.53515625" style="85" customWidth="1"/>
    <col min="9503" max="9503" width="10" style="85" customWidth="1"/>
    <col min="9504" max="9504" width="7.69140625" style="85" bestFit="1" customWidth="1"/>
    <col min="9505" max="9505" width="9.69140625" style="85" customWidth="1"/>
    <col min="9506" max="9722" width="8.69140625" style="85"/>
    <col min="9723" max="9723" width="38.4609375" style="85" customWidth="1"/>
    <col min="9724" max="9724" width="8.53515625" style="85" customWidth="1"/>
    <col min="9725" max="9725" width="1.07421875" style="85" customWidth="1"/>
    <col min="9726" max="9726" width="8.69140625" style="85" customWidth="1"/>
    <col min="9727" max="9727" width="1.07421875" style="85" customWidth="1"/>
    <col min="9728" max="9728" width="9.07421875" style="85" customWidth="1"/>
    <col min="9729" max="9729" width="1.07421875" style="85" customWidth="1"/>
    <col min="9730" max="9730" width="10" style="85" customWidth="1"/>
    <col min="9731" max="9731" width="1.07421875" style="85" customWidth="1"/>
    <col min="9732" max="9732" width="9.07421875" style="85" customWidth="1"/>
    <col min="9733" max="9733" width="1.07421875" style="85" customWidth="1"/>
    <col min="9734" max="9734" width="11.07421875" style="85" customWidth="1"/>
    <col min="9735" max="9735" width="1.07421875" style="85" customWidth="1"/>
    <col min="9736" max="9736" width="9.07421875" style="85" customWidth="1"/>
    <col min="9737" max="9737" width="1.69140625" style="85" customWidth="1"/>
    <col min="9738" max="9738" width="11" style="85" customWidth="1"/>
    <col min="9739" max="9739" width="1.07421875" style="85" customWidth="1"/>
    <col min="9740" max="9740" width="10.69140625" style="85" customWidth="1"/>
    <col min="9741" max="9741" width="1.07421875" style="85" customWidth="1"/>
    <col min="9742" max="9742" width="10" style="85" customWidth="1"/>
    <col min="9743" max="9743" width="1.07421875" style="85" customWidth="1"/>
    <col min="9744" max="9744" width="9.07421875" style="85" customWidth="1"/>
    <col min="9745" max="9745" width="1.07421875" style="85" customWidth="1"/>
    <col min="9746" max="9746" width="7.69140625" style="85" customWidth="1"/>
    <col min="9747" max="9747" width="1.07421875" style="85" customWidth="1"/>
    <col min="9748" max="9748" width="0.69140625" style="85" customWidth="1"/>
    <col min="9749" max="9749" width="9.07421875" style="85" customWidth="1"/>
    <col min="9750" max="9750" width="1.07421875" style="85" customWidth="1"/>
    <col min="9751" max="9751" width="0.69140625" style="85" customWidth="1"/>
    <col min="9752" max="9752" width="9.53515625" style="85" bestFit="1" customWidth="1"/>
    <col min="9753" max="9754" width="0.69140625" style="85" customWidth="1"/>
    <col min="9755" max="9755" width="9.69140625" style="85" customWidth="1"/>
    <col min="9756" max="9756" width="1.07421875" style="85" customWidth="1"/>
    <col min="9757" max="9757" width="8.53515625" style="85" customWidth="1"/>
    <col min="9758" max="9758" width="14.53515625" style="85" customWidth="1"/>
    <col min="9759" max="9759" width="10" style="85" customWidth="1"/>
    <col min="9760" max="9760" width="7.69140625" style="85" bestFit="1" customWidth="1"/>
    <col min="9761" max="9761" width="9.69140625" style="85" customWidth="1"/>
    <col min="9762" max="9978" width="8.69140625" style="85"/>
    <col min="9979" max="9979" width="38.4609375" style="85" customWidth="1"/>
    <col min="9980" max="9980" width="8.53515625" style="85" customWidth="1"/>
    <col min="9981" max="9981" width="1.07421875" style="85" customWidth="1"/>
    <col min="9982" max="9982" width="8.69140625" style="85" customWidth="1"/>
    <col min="9983" max="9983" width="1.07421875" style="85" customWidth="1"/>
    <col min="9984" max="9984" width="9.07421875" style="85" customWidth="1"/>
    <col min="9985" max="9985" width="1.07421875" style="85" customWidth="1"/>
    <col min="9986" max="9986" width="10" style="85" customWidth="1"/>
    <col min="9987" max="9987" width="1.07421875" style="85" customWidth="1"/>
    <col min="9988" max="9988" width="9.07421875" style="85" customWidth="1"/>
    <col min="9989" max="9989" width="1.07421875" style="85" customWidth="1"/>
    <col min="9990" max="9990" width="11.07421875" style="85" customWidth="1"/>
    <col min="9991" max="9991" width="1.07421875" style="85" customWidth="1"/>
    <col min="9992" max="9992" width="9.07421875" style="85" customWidth="1"/>
    <col min="9993" max="9993" width="1.69140625" style="85" customWidth="1"/>
    <col min="9994" max="9994" width="11" style="85" customWidth="1"/>
    <col min="9995" max="9995" width="1.07421875" style="85" customWidth="1"/>
    <col min="9996" max="9996" width="10.69140625" style="85" customWidth="1"/>
    <col min="9997" max="9997" width="1.07421875" style="85" customWidth="1"/>
    <col min="9998" max="9998" width="10" style="85" customWidth="1"/>
    <col min="9999" max="9999" width="1.07421875" style="85" customWidth="1"/>
    <col min="10000" max="10000" width="9.07421875" style="85" customWidth="1"/>
    <col min="10001" max="10001" width="1.07421875" style="85" customWidth="1"/>
    <col min="10002" max="10002" width="7.69140625" style="85" customWidth="1"/>
    <col min="10003" max="10003" width="1.07421875" style="85" customWidth="1"/>
    <col min="10004" max="10004" width="0.69140625" style="85" customWidth="1"/>
    <col min="10005" max="10005" width="9.07421875" style="85" customWidth="1"/>
    <col min="10006" max="10006" width="1.07421875" style="85" customWidth="1"/>
    <col min="10007" max="10007" width="0.69140625" style="85" customWidth="1"/>
    <col min="10008" max="10008" width="9.53515625" style="85" bestFit="1" customWidth="1"/>
    <col min="10009" max="10010" width="0.69140625" style="85" customWidth="1"/>
    <col min="10011" max="10011" width="9.69140625" style="85" customWidth="1"/>
    <col min="10012" max="10012" width="1.07421875" style="85" customWidth="1"/>
    <col min="10013" max="10013" width="8.53515625" style="85" customWidth="1"/>
    <col min="10014" max="10014" width="14.53515625" style="85" customWidth="1"/>
    <col min="10015" max="10015" width="10" style="85" customWidth="1"/>
    <col min="10016" max="10016" width="7.69140625" style="85" bestFit="1" customWidth="1"/>
    <col min="10017" max="10017" width="9.69140625" style="85" customWidth="1"/>
    <col min="10018" max="10234" width="8.69140625" style="85"/>
    <col min="10235" max="10235" width="38.4609375" style="85" customWidth="1"/>
    <col min="10236" max="10236" width="8.53515625" style="85" customWidth="1"/>
    <col min="10237" max="10237" width="1.07421875" style="85" customWidth="1"/>
    <col min="10238" max="10238" width="8.69140625" style="85" customWidth="1"/>
    <col min="10239" max="10239" width="1.07421875" style="85" customWidth="1"/>
    <col min="10240" max="10240" width="9.07421875" style="85" customWidth="1"/>
    <col min="10241" max="10241" width="1.07421875" style="85" customWidth="1"/>
    <col min="10242" max="10242" width="10" style="85" customWidth="1"/>
    <col min="10243" max="10243" width="1.07421875" style="85" customWidth="1"/>
    <col min="10244" max="10244" width="9.07421875" style="85" customWidth="1"/>
    <col min="10245" max="10245" width="1.07421875" style="85" customWidth="1"/>
    <col min="10246" max="10246" width="11.07421875" style="85" customWidth="1"/>
    <col min="10247" max="10247" width="1.07421875" style="85" customWidth="1"/>
    <col min="10248" max="10248" width="9.07421875" style="85" customWidth="1"/>
    <col min="10249" max="10249" width="1.69140625" style="85" customWidth="1"/>
    <col min="10250" max="10250" width="11" style="85" customWidth="1"/>
    <col min="10251" max="10251" width="1.07421875" style="85" customWidth="1"/>
    <col min="10252" max="10252" width="10.69140625" style="85" customWidth="1"/>
    <col min="10253" max="10253" width="1.07421875" style="85" customWidth="1"/>
    <col min="10254" max="10254" width="10" style="85" customWidth="1"/>
    <col min="10255" max="10255" width="1.07421875" style="85" customWidth="1"/>
    <col min="10256" max="10256" width="9.07421875" style="85" customWidth="1"/>
    <col min="10257" max="10257" width="1.07421875" style="85" customWidth="1"/>
    <col min="10258" max="10258" width="7.69140625" style="85" customWidth="1"/>
    <col min="10259" max="10259" width="1.07421875" style="85" customWidth="1"/>
    <col min="10260" max="10260" width="0.69140625" style="85" customWidth="1"/>
    <col min="10261" max="10261" width="9.07421875" style="85" customWidth="1"/>
    <col min="10262" max="10262" width="1.07421875" style="85" customWidth="1"/>
    <col min="10263" max="10263" width="0.69140625" style="85" customWidth="1"/>
    <col min="10264" max="10264" width="9.53515625" style="85" bestFit="1" customWidth="1"/>
    <col min="10265" max="10266" width="0.69140625" style="85" customWidth="1"/>
    <col min="10267" max="10267" width="9.69140625" style="85" customWidth="1"/>
    <col min="10268" max="10268" width="1.07421875" style="85" customWidth="1"/>
    <col min="10269" max="10269" width="8.53515625" style="85" customWidth="1"/>
    <col min="10270" max="10270" width="14.53515625" style="85" customWidth="1"/>
    <col min="10271" max="10271" width="10" style="85" customWidth="1"/>
    <col min="10272" max="10272" width="7.69140625" style="85" bestFit="1" customWidth="1"/>
    <col min="10273" max="10273" width="9.69140625" style="85" customWidth="1"/>
    <col min="10274" max="10490" width="8.69140625" style="85"/>
    <col min="10491" max="10491" width="38.4609375" style="85" customWidth="1"/>
    <col min="10492" max="10492" width="8.53515625" style="85" customWidth="1"/>
    <col min="10493" max="10493" width="1.07421875" style="85" customWidth="1"/>
    <col min="10494" max="10494" width="8.69140625" style="85" customWidth="1"/>
    <col min="10495" max="10495" width="1.07421875" style="85" customWidth="1"/>
    <col min="10496" max="10496" width="9.07421875" style="85" customWidth="1"/>
    <col min="10497" max="10497" width="1.07421875" style="85" customWidth="1"/>
    <col min="10498" max="10498" width="10" style="85" customWidth="1"/>
    <col min="10499" max="10499" width="1.07421875" style="85" customWidth="1"/>
    <col min="10500" max="10500" width="9.07421875" style="85" customWidth="1"/>
    <col min="10501" max="10501" width="1.07421875" style="85" customWidth="1"/>
    <col min="10502" max="10502" width="11.07421875" style="85" customWidth="1"/>
    <col min="10503" max="10503" width="1.07421875" style="85" customWidth="1"/>
    <col min="10504" max="10504" width="9.07421875" style="85" customWidth="1"/>
    <col min="10505" max="10505" width="1.69140625" style="85" customWidth="1"/>
    <col min="10506" max="10506" width="11" style="85" customWidth="1"/>
    <col min="10507" max="10507" width="1.07421875" style="85" customWidth="1"/>
    <col min="10508" max="10508" width="10.69140625" style="85" customWidth="1"/>
    <col min="10509" max="10509" width="1.07421875" style="85" customWidth="1"/>
    <col min="10510" max="10510" width="10" style="85" customWidth="1"/>
    <col min="10511" max="10511" width="1.07421875" style="85" customWidth="1"/>
    <col min="10512" max="10512" width="9.07421875" style="85" customWidth="1"/>
    <col min="10513" max="10513" width="1.07421875" style="85" customWidth="1"/>
    <col min="10514" max="10514" width="7.69140625" style="85" customWidth="1"/>
    <col min="10515" max="10515" width="1.07421875" style="85" customWidth="1"/>
    <col min="10516" max="10516" width="0.69140625" style="85" customWidth="1"/>
    <col min="10517" max="10517" width="9.07421875" style="85" customWidth="1"/>
    <col min="10518" max="10518" width="1.07421875" style="85" customWidth="1"/>
    <col min="10519" max="10519" width="0.69140625" style="85" customWidth="1"/>
    <col min="10520" max="10520" width="9.53515625" style="85" bestFit="1" customWidth="1"/>
    <col min="10521" max="10522" width="0.69140625" style="85" customWidth="1"/>
    <col min="10523" max="10523" width="9.69140625" style="85" customWidth="1"/>
    <col min="10524" max="10524" width="1.07421875" style="85" customWidth="1"/>
    <col min="10525" max="10525" width="8.53515625" style="85" customWidth="1"/>
    <col min="10526" max="10526" width="14.53515625" style="85" customWidth="1"/>
    <col min="10527" max="10527" width="10" style="85" customWidth="1"/>
    <col min="10528" max="10528" width="7.69140625" style="85" bestFit="1" customWidth="1"/>
    <col min="10529" max="10529" width="9.69140625" style="85" customWidth="1"/>
    <col min="10530" max="10746" width="8.69140625" style="85"/>
    <col min="10747" max="10747" width="38.4609375" style="85" customWidth="1"/>
    <col min="10748" max="10748" width="8.53515625" style="85" customWidth="1"/>
    <col min="10749" max="10749" width="1.07421875" style="85" customWidth="1"/>
    <col min="10750" max="10750" width="8.69140625" style="85" customWidth="1"/>
    <col min="10751" max="10751" width="1.07421875" style="85" customWidth="1"/>
    <col min="10752" max="10752" width="9.07421875" style="85" customWidth="1"/>
    <col min="10753" max="10753" width="1.07421875" style="85" customWidth="1"/>
    <col min="10754" max="10754" width="10" style="85" customWidth="1"/>
    <col min="10755" max="10755" width="1.07421875" style="85" customWidth="1"/>
    <col min="10756" max="10756" width="9.07421875" style="85" customWidth="1"/>
    <col min="10757" max="10757" width="1.07421875" style="85" customWidth="1"/>
    <col min="10758" max="10758" width="11.07421875" style="85" customWidth="1"/>
    <col min="10759" max="10759" width="1.07421875" style="85" customWidth="1"/>
    <col min="10760" max="10760" width="9.07421875" style="85" customWidth="1"/>
    <col min="10761" max="10761" width="1.69140625" style="85" customWidth="1"/>
    <col min="10762" max="10762" width="11" style="85" customWidth="1"/>
    <col min="10763" max="10763" width="1.07421875" style="85" customWidth="1"/>
    <col min="10764" max="10764" width="10.69140625" style="85" customWidth="1"/>
    <col min="10765" max="10765" width="1.07421875" style="85" customWidth="1"/>
    <col min="10766" max="10766" width="10" style="85" customWidth="1"/>
    <col min="10767" max="10767" width="1.07421875" style="85" customWidth="1"/>
    <col min="10768" max="10768" width="9.07421875" style="85" customWidth="1"/>
    <col min="10769" max="10769" width="1.07421875" style="85" customWidth="1"/>
    <col min="10770" max="10770" width="7.69140625" style="85" customWidth="1"/>
    <col min="10771" max="10771" width="1.07421875" style="85" customWidth="1"/>
    <col min="10772" max="10772" width="0.69140625" style="85" customWidth="1"/>
    <col min="10773" max="10773" width="9.07421875" style="85" customWidth="1"/>
    <col min="10774" max="10774" width="1.07421875" style="85" customWidth="1"/>
    <col min="10775" max="10775" width="0.69140625" style="85" customWidth="1"/>
    <col min="10776" max="10776" width="9.53515625" style="85" bestFit="1" customWidth="1"/>
    <col min="10777" max="10778" width="0.69140625" style="85" customWidth="1"/>
    <col min="10779" max="10779" width="9.69140625" style="85" customWidth="1"/>
    <col min="10780" max="10780" width="1.07421875" style="85" customWidth="1"/>
    <col min="10781" max="10781" width="8.53515625" style="85" customWidth="1"/>
    <col min="10782" max="10782" width="14.53515625" style="85" customWidth="1"/>
    <col min="10783" max="10783" width="10" style="85" customWidth="1"/>
    <col min="10784" max="10784" width="7.69140625" style="85" bestFit="1" customWidth="1"/>
    <col min="10785" max="10785" width="9.69140625" style="85" customWidth="1"/>
    <col min="10786" max="11002" width="8.69140625" style="85"/>
    <col min="11003" max="11003" width="38.4609375" style="85" customWidth="1"/>
    <col min="11004" max="11004" width="8.53515625" style="85" customWidth="1"/>
    <col min="11005" max="11005" width="1.07421875" style="85" customWidth="1"/>
    <col min="11006" max="11006" width="8.69140625" style="85" customWidth="1"/>
    <col min="11007" max="11007" width="1.07421875" style="85" customWidth="1"/>
    <col min="11008" max="11008" width="9.07421875" style="85" customWidth="1"/>
    <col min="11009" max="11009" width="1.07421875" style="85" customWidth="1"/>
    <col min="11010" max="11010" width="10" style="85" customWidth="1"/>
    <col min="11011" max="11011" width="1.07421875" style="85" customWidth="1"/>
    <col min="11012" max="11012" width="9.07421875" style="85" customWidth="1"/>
    <col min="11013" max="11013" width="1.07421875" style="85" customWidth="1"/>
    <col min="11014" max="11014" width="11.07421875" style="85" customWidth="1"/>
    <col min="11015" max="11015" width="1.07421875" style="85" customWidth="1"/>
    <col min="11016" max="11016" width="9.07421875" style="85" customWidth="1"/>
    <col min="11017" max="11017" width="1.69140625" style="85" customWidth="1"/>
    <col min="11018" max="11018" width="11" style="85" customWidth="1"/>
    <col min="11019" max="11019" width="1.07421875" style="85" customWidth="1"/>
    <col min="11020" max="11020" width="10.69140625" style="85" customWidth="1"/>
    <col min="11021" max="11021" width="1.07421875" style="85" customWidth="1"/>
    <col min="11022" max="11022" width="10" style="85" customWidth="1"/>
    <col min="11023" max="11023" width="1.07421875" style="85" customWidth="1"/>
    <col min="11024" max="11024" width="9.07421875" style="85" customWidth="1"/>
    <col min="11025" max="11025" width="1.07421875" style="85" customWidth="1"/>
    <col min="11026" max="11026" width="7.69140625" style="85" customWidth="1"/>
    <col min="11027" max="11027" width="1.07421875" style="85" customWidth="1"/>
    <col min="11028" max="11028" width="0.69140625" style="85" customWidth="1"/>
    <col min="11029" max="11029" width="9.07421875" style="85" customWidth="1"/>
    <col min="11030" max="11030" width="1.07421875" style="85" customWidth="1"/>
    <col min="11031" max="11031" width="0.69140625" style="85" customWidth="1"/>
    <col min="11032" max="11032" width="9.53515625" style="85" bestFit="1" customWidth="1"/>
    <col min="11033" max="11034" width="0.69140625" style="85" customWidth="1"/>
    <col min="11035" max="11035" width="9.69140625" style="85" customWidth="1"/>
    <col min="11036" max="11036" width="1.07421875" style="85" customWidth="1"/>
    <col min="11037" max="11037" width="8.53515625" style="85" customWidth="1"/>
    <col min="11038" max="11038" width="14.53515625" style="85" customWidth="1"/>
    <col min="11039" max="11039" width="10" style="85" customWidth="1"/>
    <col min="11040" max="11040" width="7.69140625" style="85" bestFit="1" customWidth="1"/>
    <col min="11041" max="11041" width="9.69140625" style="85" customWidth="1"/>
    <col min="11042" max="11258" width="8.69140625" style="85"/>
    <col min="11259" max="11259" width="38.4609375" style="85" customWidth="1"/>
    <col min="11260" max="11260" width="8.53515625" style="85" customWidth="1"/>
    <col min="11261" max="11261" width="1.07421875" style="85" customWidth="1"/>
    <col min="11262" max="11262" width="8.69140625" style="85" customWidth="1"/>
    <col min="11263" max="11263" width="1.07421875" style="85" customWidth="1"/>
    <col min="11264" max="11264" width="9.07421875" style="85" customWidth="1"/>
    <col min="11265" max="11265" width="1.07421875" style="85" customWidth="1"/>
    <col min="11266" max="11266" width="10" style="85" customWidth="1"/>
    <col min="11267" max="11267" width="1.07421875" style="85" customWidth="1"/>
    <col min="11268" max="11268" width="9.07421875" style="85" customWidth="1"/>
    <col min="11269" max="11269" width="1.07421875" style="85" customWidth="1"/>
    <col min="11270" max="11270" width="11.07421875" style="85" customWidth="1"/>
    <col min="11271" max="11271" width="1.07421875" style="85" customWidth="1"/>
    <col min="11272" max="11272" width="9.07421875" style="85" customWidth="1"/>
    <col min="11273" max="11273" width="1.69140625" style="85" customWidth="1"/>
    <col min="11274" max="11274" width="11" style="85" customWidth="1"/>
    <col min="11275" max="11275" width="1.07421875" style="85" customWidth="1"/>
    <col min="11276" max="11276" width="10.69140625" style="85" customWidth="1"/>
    <col min="11277" max="11277" width="1.07421875" style="85" customWidth="1"/>
    <col min="11278" max="11278" width="10" style="85" customWidth="1"/>
    <col min="11279" max="11279" width="1.07421875" style="85" customWidth="1"/>
    <col min="11280" max="11280" width="9.07421875" style="85" customWidth="1"/>
    <col min="11281" max="11281" width="1.07421875" style="85" customWidth="1"/>
    <col min="11282" max="11282" width="7.69140625" style="85" customWidth="1"/>
    <col min="11283" max="11283" width="1.07421875" style="85" customWidth="1"/>
    <col min="11284" max="11284" width="0.69140625" style="85" customWidth="1"/>
    <col min="11285" max="11285" width="9.07421875" style="85" customWidth="1"/>
    <col min="11286" max="11286" width="1.07421875" style="85" customWidth="1"/>
    <col min="11287" max="11287" width="0.69140625" style="85" customWidth="1"/>
    <col min="11288" max="11288" width="9.53515625" style="85" bestFit="1" customWidth="1"/>
    <col min="11289" max="11290" width="0.69140625" style="85" customWidth="1"/>
    <col min="11291" max="11291" width="9.69140625" style="85" customWidth="1"/>
    <col min="11292" max="11292" width="1.07421875" style="85" customWidth="1"/>
    <col min="11293" max="11293" width="8.53515625" style="85" customWidth="1"/>
    <col min="11294" max="11294" width="14.53515625" style="85" customWidth="1"/>
    <col min="11295" max="11295" width="10" style="85" customWidth="1"/>
    <col min="11296" max="11296" width="7.69140625" style="85" bestFit="1" customWidth="1"/>
    <col min="11297" max="11297" width="9.69140625" style="85" customWidth="1"/>
    <col min="11298" max="11514" width="8.69140625" style="85"/>
    <col min="11515" max="11515" width="38.4609375" style="85" customWidth="1"/>
    <col min="11516" max="11516" width="8.53515625" style="85" customWidth="1"/>
    <col min="11517" max="11517" width="1.07421875" style="85" customWidth="1"/>
    <col min="11518" max="11518" width="8.69140625" style="85" customWidth="1"/>
    <col min="11519" max="11519" width="1.07421875" style="85" customWidth="1"/>
    <col min="11520" max="11520" width="9.07421875" style="85" customWidth="1"/>
    <col min="11521" max="11521" width="1.07421875" style="85" customWidth="1"/>
    <col min="11522" max="11522" width="10" style="85" customWidth="1"/>
    <col min="11523" max="11523" width="1.07421875" style="85" customWidth="1"/>
    <col min="11524" max="11524" width="9.07421875" style="85" customWidth="1"/>
    <col min="11525" max="11525" width="1.07421875" style="85" customWidth="1"/>
    <col min="11526" max="11526" width="11.07421875" style="85" customWidth="1"/>
    <col min="11527" max="11527" width="1.07421875" style="85" customWidth="1"/>
    <col min="11528" max="11528" width="9.07421875" style="85" customWidth="1"/>
    <col min="11529" max="11529" width="1.69140625" style="85" customWidth="1"/>
    <col min="11530" max="11530" width="11" style="85" customWidth="1"/>
    <col min="11531" max="11531" width="1.07421875" style="85" customWidth="1"/>
    <col min="11532" max="11532" width="10.69140625" style="85" customWidth="1"/>
    <col min="11533" max="11533" width="1.07421875" style="85" customWidth="1"/>
    <col min="11534" max="11534" width="10" style="85" customWidth="1"/>
    <col min="11535" max="11535" width="1.07421875" style="85" customWidth="1"/>
    <col min="11536" max="11536" width="9.07421875" style="85" customWidth="1"/>
    <col min="11537" max="11537" width="1.07421875" style="85" customWidth="1"/>
    <col min="11538" max="11538" width="7.69140625" style="85" customWidth="1"/>
    <col min="11539" max="11539" width="1.07421875" style="85" customWidth="1"/>
    <col min="11540" max="11540" width="0.69140625" style="85" customWidth="1"/>
    <col min="11541" max="11541" width="9.07421875" style="85" customWidth="1"/>
    <col min="11542" max="11542" width="1.07421875" style="85" customWidth="1"/>
    <col min="11543" max="11543" width="0.69140625" style="85" customWidth="1"/>
    <col min="11544" max="11544" width="9.53515625" style="85" bestFit="1" customWidth="1"/>
    <col min="11545" max="11546" width="0.69140625" style="85" customWidth="1"/>
    <col min="11547" max="11547" width="9.69140625" style="85" customWidth="1"/>
    <col min="11548" max="11548" width="1.07421875" style="85" customWidth="1"/>
    <col min="11549" max="11549" width="8.53515625" style="85" customWidth="1"/>
    <col min="11550" max="11550" width="14.53515625" style="85" customWidth="1"/>
    <col min="11551" max="11551" width="10" style="85" customWidth="1"/>
    <col min="11552" max="11552" width="7.69140625" style="85" bestFit="1" customWidth="1"/>
    <col min="11553" max="11553" width="9.69140625" style="85" customWidth="1"/>
    <col min="11554" max="11770" width="8.69140625" style="85"/>
    <col min="11771" max="11771" width="38.4609375" style="85" customWidth="1"/>
    <col min="11772" max="11772" width="8.53515625" style="85" customWidth="1"/>
    <col min="11773" max="11773" width="1.07421875" style="85" customWidth="1"/>
    <col min="11774" max="11774" width="8.69140625" style="85" customWidth="1"/>
    <col min="11775" max="11775" width="1.07421875" style="85" customWidth="1"/>
    <col min="11776" max="11776" width="9.07421875" style="85" customWidth="1"/>
    <col min="11777" max="11777" width="1.07421875" style="85" customWidth="1"/>
    <col min="11778" max="11778" width="10" style="85" customWidth="1"/>
    <col min="11779" max="11779" width="1.07421875" style="85" customWidth="1"/>
    <col min="11780" max="11780" width="9.07421875" style="85" customWidth="1"/>
    <col min="11781" max="11781" width="1.07421875" style="85" customWidth="1"/>
    <col min="11782" max="11782" width="11.07421875" style="85" customWidth="1"/>
    <col min="11783" max="11783" width="1.07421875" style="85" customWidth="1"/>
    <col min="11784" max="11784" width="9.07421875" style="85" customWidth="1"/>
    <col min="11785" max="11785" width="1.69140625" style="85" customWidth="1"/>
    <col min="11786" max="11786" width="11" style="85" customWidth="1"/>
    <col min="11787" max="11787" width="1.07421875" style="85" customWidth="1"/>
    <col min="11788" max="11788" width="10.69140625" style="85" customWidth="1"/>
    <col min="11789" max="11789" width="1.07421875" style="85" customWidth="1"/>
    <col min="11790" max="11790" width="10" style="85" customWidth="1"/>
    <col min="11791" max="11791" width="1.07421875" style="85" customWidth="1"/>
    <col min="11792" max="11792" width="9.07421875" style="85" customWidth="1"/>
    <col min="11793" max="11793" width="1.07421875" style="85" customWidth="1"/>
    <col min="11794" max="11794" width="7.69140625" style="85" customWidth="1"/>
    <col min="11795" max="11795" width="1.07421875" style="85" customWidth="1"/>
    <col min="11796" max="11796" width="0.69140625" style="85" customWidth="1"/>
    <col min="11797" max="11797" width="9.07421875" style="85" customWidth="1"/>
    <col min="11798" max="11798" width="1.07421875" style="85" customWidth="1"/>
    <col min="11799" max="11799" width="0.69140625" style="85" customWidth="1"/>
    <col min="11800" max="11800" width="9.53515625" style="85" bestFit="1" customWidth="1"/>
    <col min="11801" max="11802" width="0.69140625" style="85" customWidth="1"/>
    <col min="11803" max="11803" width="9.69140625" style="85" customWidth="1"/>
    <col min="11804" max="11804" width="1.07421875" style="85" customWidth="1"/>
    <col min="11805" max="11805" width="8.53515625" style="85" customWidth="1"/>
    <col min="11806" max="11806" width="14.53515625" style="85" customWidth="1"/>
    <col min="11807" max="11807" width="10" style="85" customWidth="1"/>
    <col min="11808" max="11808" width="7.69140625" style="85" bestFit="1" customWidth="1"/>
    <col min="11809" max="11809" width="9.69140625" style="85" customWidth="1"/>
    <col min="11810" max="12026" width="8.69140625" style="85"/>
    <col min="12027" max="12027" width="38.4609375" style="85" customWidth="1"/>
    <col min="12028" max="12028" width="8.53515625" style="85" customWidth="1"/>
    <col min="12029" max="12029" width="1.07421875" style="85" customWidth="1"/>
    <col min="12030" max="12030" width="8.69140625" style="85" customWidth="1"/>
    <col min="12031" max="12031" width="1.07421875" style="85" customWidth="1"/>
    <col min="12032" max="12032" width="9.07421875" style="85" customWidth="1"/>
    <col min="12033" max="12033" width="1.07421875" style="85" customWidth="1"/>
    <col min="12034" max="12034" width="10" style="85" customWidth="1"/>
    <col min="12035" max="12035" width="1.07421875" style="85" customWidth="1"/>
    <col min="12036" max="12036" width="9.07421875" style="85" customWidth="1"/>
    <col min="12037" max="12037" width="1.07421875" style="85" customWidth="1"/>
    <col min="12038" max="12038" width="11.07421875" style="85" customWidth="1"/>
    <col min="12039" max="12039" width="1.07421875" style="85" customWidth="1"/>
    <col min="12040" max="12040" width="9.07421875" style="85" customWidth="1"/>
    <col min="12041" max="12041" width="1.69140625" style="85" customWidth="1"/>
    <col min="12042" max="12042" width="11" style="85" customWidth="1"/>
    <col min="12043" max="12043" width="1.07421875" style="85" customWidth="1"/>
    <col min="12044" max="12044" width="10.69140625" style="85" customWidth="1"/>
    <col min="12045" max="12045" width="1.07421875" style="85" customWidth="1"/>
    <col min="12046" max="12046" width="10" style="85" customWidth="1"/>
    <col min="12047" max="12047" width="1.07421875" style="85" customWidth="1"/>
    <col min="12048" max="12048" width="9.07421875" style="85" customWidth="1"/>
    <col min="12049" max="12049" width="1.07421875" style="85" customWidth="1"/>
    <col min="12050" max="12050" width="7.69140625" style="85" customWidth="1"/>
    <col min="12051" max="12051" width="1.07421875" style="85" customWidth="1"/>
    <col min="12052" max="12052" width="0.69140625" style="85" customWidth="1"/>
    <col min="12053" max="12053" width="9.07421875" style="85" customWidth="1"/>
    <col min="12054" max="12054" width="1.07421875" style="85" customWidth="1"/>
    <col min="12055" max="12055" width="0.69140625" style="85" customWidth="1"/>
    <col min="12056" max="12056" width="9.53515625" style="85" bestFit="1" customWidth="1"/>
    <col min="12057" max="12058" width="0.69140625" style="85" customWidth="1"/>
    <col min="12059" max="12059" width="9.69140625" style="85" customWidth="1"/>
    <col min="12060" max="12060" width="1.07421875" style="85" customWidth="1"/>
    <col min="12061" max="12061" width="8.53515625" style="85" customWidth="1"/>
    <col min="12062" max="12062" width="14.53515625" style="85" customWidth="1"/>
    <col min="12063" max="12063" width="10" style="85" customWidth="1"/>
    <col min="12064" max="12064" width="7.69140625" style="85" bestFit="1" customWidth="1"/>
    <col min="12065" max="12065" width="9.69140625" style="85" customWidth="1"/>
    <col min="12066" max="12282" width="8.69140625" style="85"/>
    <col min="12283" max="12283" width="38.4609375" style="85" customWidth="1"/>
    <col min="12284" max="12284" width="8.53515625" style="85" customWidth="1"/>
    <col min="12285" max="12285" width="1.07421875" style="85" customWidth="1"/>
    <col min="12286" max="12286" width="8.69140625" style="85" customWidth="1"/>
    <col min="12287" max="12287" width="1.07421875" style="85" customWidth="1"/>
    <col min="12288" max="12288" width="9.07421875" style="85" customWidth="1"/>
    <col min="12289" max="12289" width="1.07421875" style="85" customWidth="1"/>
    <col min="12290" max="12290" width="10" style="85" customWidth="1"/>
    <col min="12291" max="12291" width="1.07421875" style="85" customWidth="1"/>
    <col min="12292" max="12292" width="9.07421875" style="85" customWidth="1"/>
    <col min="12293" max="12293" width="1.07421875" style="85" customWidth="1"/>
    <col min="12294" max="12294" width="11.07421875" style="85" customWidth="1"/>
    <col min="12295" max="12295" width="1.07421875" style="85" customWidth="1"/>
    <col min="12296" max="12296" width="9.07421875" style="85" customWidth="1"/>
    <col min="12297" max="12297" width="1.69140625" style="85" customWidth="1"/>
    <col min="12298" max="12298" width="11" style="85" customWidth="1"/>
    <col min="12299" max="12299" width="1.07421875" style="85" customWidth="1"/>
    <col min="12300" max="12300" width="10.69140625" style="85" customWidth="1"/>
    <col min="12301" max="12301" width="1.07421875" style="85" customWidth="1"/>
    <col min="12302" max="12302" width="10" style="85" customWidth="1"/>
    <col min="12303" max="12303" width="1.07421875" style="85" customWidth="1"/>
    <col min="12304" max="12304" width="9.07421875" style="85" customWidth="1"/>
    <col min="12305" max="12305" width="1.07421875" style="85" customWidth="1"/>
    <col min="12306" max="12306" width="7.69140625" style="85" customWidth="1"/>
    <col min="12307" max="12307" width="1.07421875" style="85" customWidth="1"/>
    <col min="12308" max="12308" width="0.69140625" style="85" customWidth="1"/>
    <col min="12309" max="12309" width="9.07421875" style="85" customWidth="1"/>
    <col min="12310" max="12310" width="1.07421875" style="85" customWidth="1"/>
    <col min="12311" max="12311" width="0.69140625" style="85" customWidth="1"/>
    <col min="12312" max="12312" width="9.53515625" style="85" bestFit="1" customWidth="1"/>
    <col min="12313" max="12314" width="0.69140625" style="85" customWidth="1"/>
    <col min="12315" max="12315" width="9.69140625" style="85" customWidth="1"/>
    <col min="12316" max="12316" width="1.07421875" style="85" customWidth="1"/>
    <col min="12317" max="12317" width="8.53515625" style="85" customWidth="1"/>
    <col min="12318" max="12318" width="14.53515625" style="85" customWidth="1"/>
    <col min="12319" max="12319" width="10" style="85" customWidth="1"/>
    <col min="12320" max="12320" width="7.69140625" style="85" bestFit="1" customWidth="1"/>
    <col min="12321" max="12321" width="9.69140625" style="85" customWidth="1"/>
    <col min="12322" max="12538" width="8.69140625" style="85"/>
    <col min="12539" max="12539" width="38.4609375" style="85" customWidth="1"/>
    <col min="12540" max="12540" width="8.53515625" style="85" customWidth="1"/>
    <col min="12541" max="12541" width="1.07421875" style="85" customWidth="1"/>
    <col min="12542" max="12542" width="8.69140625" style="85" customWidth="1"/>
    <col min="12543" max="12543" width="1.07421875" style="85" customWidth="1"/>
    <col min="12544" max="12544" width="9.07421875" style="85" customWidth="1"/>
    <col min="12545" max="12545" width="1.07421875" style="85" customWidth="1"/>
    <col min="12546" max="12546" width="10" style="85" customWidth="1"/>
    <col min="12547" max="12547" width="1.07421875" style="85" customWidth="1"/>
    <col min="12548" max="12548" width="9.07421875" style="85" customWidth="1"/>
    <col min="12549" max="12549" width="1.07421875" style="85" customWidth="1"/>
    <col min="12550" max="12550" width="11.07421875" style="85" customWidth="1"/>
    <col min="12551" max="12551" width="1.07421875" style="85" customWidth="1"/>
    <col min="12552" max="12552" width="9.07421875" style="85" customWidth="1"/>
    <col min="12553" max="12553" width="1.69140625" style="85" customWidth="1"/>
    <col min="12554" max="12554" width="11" style="85" customWidth="1"/>
    <col min="12555" max="12555" width="1.07421875" style="85" customWidth="1"/>
    <col min="12556" max="12556" width="10.69140625" style="85" customWidth="1"/>
    <col min="12557" max="12557" width="1.07421875" style="85" customWidth="1"/>
    <col min="12558" max="12558" width="10" style="85" customWidth="1"/>
    <col min="12559" max="12559" width="1.07421875" style="85" customWidth="1"/>
    <col min="12560" max="12560" width="9.07421875" style="85" customWidth="1"/>
    <col min="12561" max="12561" width="1.07421875" style="85" customWidth="1"/>
    <col min="12562" max="12562" width="7.69140625" style="85" customWidth="1"/>
    <col min="12563" max="12563" width="1.07421875" style="85" customWidth="1"/>
    <col min="12564" max="12564" width="0.69140625" style="85" customWidth="1"/>
    <col min="12565" max="12565" width="9.07421875" style="85" customWidth="1"/>
    <col min="12566" max="12566" width="1.07421875" style="85" customWidth="1"/>
    <col min="12567" max="12567" width="0.69140625" style="85" customWidth="1"/>
    <col min="12568" max="12568" width="9.53515625" style="85" bestFit="1" customWidth="1"/>
    <col min="12569" max="12570" width="0.69140625" style="85" customWidth="1"/>
    <col min="12571" max="12571" width="9.69140625" style="85" customWidth="1"/>
    <col min="12572" max="12572" width="1.07421875" style="85" customWidth="1"/>
    <col min="12573" max="12573" width="8.53515625" style="85" customWidth="1"/>
    <col min="12574" max="12574" width="14.53515625" style="85" customWidth="1"/>
    <col min="12575" max="12575" width="10" style="85" customWidth="1"/>
    <col min="12576" max="12576" width="7.69140625" style="85" bestFit="1" customWidth="1"/>
    <col min="12577" max="12577" width="9.69140625" style="85" customWidth="1"/>
    <col min="12578" max="12794" width="8.69140625" style="85"/>
    <col min="12795" max="12795" width="38.4609375" style="85" customWidth="1"/>
    <col min="12796" max="12796" width="8.53515625" style="85" customWidth="1"/>
    <col min="12797" max="12797" width="1.07421875" style="85" customWidth="1"/>
    <col min="12798" max="12798" width="8.69140625" style="85" customWidth="1"/>
    <col min="12799" max="12799" width="1.07421875" style="85" customWidth="1"/>
    <col min="12800" max="12800" width="9.07421875" style="85" customWidth="1"/>
    <col min="12801" max="12801" width="1.07421875" style="85" customWidth="1"/>
    <col min="12802" max="12802" width="10" style="85" customWidth="1"/>
    <col min="12803" max="12803" width="1.07421875" style="85" customWidth="1"/>
    <col min="12804" max="12804" width="9.07421875" style="85" customWidth="1"/>
    <col min="12805" max="12805" width="1.07421875" style="85" customWidth="1"/>
    <col min="12806" max="12806" width="11.07421875" style="85" customWidth="1"/>
    <col min="12807" max="12807" width="1.07421875" style="85" customWidth="1"/>
    <col min="12808" max="12808" width="9.07421875" style="85" customWidth="1"/>
    <col min="12809" max="12809" width="1.69140625" style="85" customWidth="1"/>
    <col min="12810" max="12810" width="11" style="85" customWidth="1"/>
    <col min="12811" max="12811" width="1.07421875" style="85" customWidth="1"/>
    <col min="12812" max="12812" width="10.69140625" style="85" customWidth="1"/>
    <col min="12813" max="12813" width="1.07421875" style="85" customWidth="1"/>
    <col min="12814" max="12814" width="10" style="85" customWidth="1"/>
    <col min="12815" max="12815" width="1.07421875" style="85" customWidth="1"/>
    <col min="12816" max="12816" width="9.07421875" style="85" customWidth="1"/>
    <col min="12817" max="12817" width="1.07421875" style="85" customWidth="1"/>
    <col min="12818" max="12818" width="7.69140625" style="85" customWidth="1"/>
    <col min="12819" max="12819" width="1.07421875" style="85" customWidth="1"/>
    <col min="12820" max="12820" width="0.69140625" style="85" customWidth="1"/>
    <col min="12821" max="12821" width="9.07421875" style="85" customWidth="1"/>
    <col min="12822" max="12822" width="1.07421875" style="85" customWidth="1"/>
    <col min="12823" max="12823" width="0.69140625" style="85" customWidth="1"/>
    <col min="12824" max="12824" width="9.53515625" style="85" bestFit="1" customWidth="1"/>
    <col min="12825" max="12826" width="0.69140625" style="85" customWidth="1"/>
    <col min="12827" max="12827" width="9.69140625" style="85" customWidth="1"/>
    <col min="12828" max="12828" width="1.07421875" style="85" customWidth="1"/>
    <col min="12829" max="12829" width="8.53515625" style="85" customWidth="1"/>
    <col min="12830" max="12830" width="14.53515625" style="85" customWidth="1"/>
    <col min="12831" max="12831" width="10" style="85" customWidth="1"/>
    <col min="12832" max="12832" width="7.69140625" style="85" bestFit="1" customWidth="1"/>
    <col min="12833" max="12833" width="9.69140625" style="85" customWidth="1"/>
    <col min="12834" max="13050" width="8.69140625" style="85"/>
    <col min="13051" max="13051" width="38.4609375" style="85" customWidth="1"/>
    <col min="13052" max="13052" width="8.53515625" style="85" customWidth="1"/>
    <col min="13053" max="13053" width="1.07421875" style="85" customWidth="1"/>
    <col min="13054" max="13054" width="8.69140625" style="85" customWidth="1"/>
    <col min="13055" max="13055" width="1.07421875" style="85" customWidth="1"/>
    <col min="13056" max="13056" width="9.07421875" style="85" customWidth="1"/>
    <col min="13057" max="13057" width="1.07421875" style="85" customWidth="1"/>
    <col min="13058" max="13058" width="10" style="85" customWidth="1"/>
    <col min="13059" max="13059" width="1.07421875" style="85" customWidth="1"/>
    <col min="13060" max="13060" width="9.07421875" style="85" customWidth="1"/>
    <col min="13061" max="13061" width="1.07421875" style="85" customWidth="1"/>
    <col min="13062" max="13062" width="11.07421875" style="85" customWidth="1"/>
    <col min="13063" max="13063" width="1.07421875" style="85" customWidth="1"/>
    <col min="13064" max="13064" width="9.07421875" style="85" customWidth="1"/>
    <col min="13065" max="13065" width="1.69140625" style="85" customWidth="1"/>
    <col min="13066" max="13066" width="11" style="85" customWidth="1"/>
    <col min="13067" max="13067" width="1.07421875" style="85" customWidth="1"/>
    <col min="13068" max="13068" width="10.69140625" style="85" customWidth="1"/>
    <col min="13069" max="13069" width="1.07421875" style="85" customWidth="1"/>
    <col min="13070" max="13070" width="10" style="85" customWidth="1"/>
    <col min="13071" max="13071" width="1.07421875" style="85" customWidth="1"/>
    <col min="13072" max="13072" width="9.07421875" style="85" customWidth="1"/>
    <col min="13073" max="13073" width="1.07421875" style="85" customWidth="1"/>
    <col min="13074" max="13074" width="7.69140625" style="85" customWidth="1"/>
    <col min="13075" max="13075" width="1.07421875" style="85" customWidth="1"/>
    <col min="13076" max="13076" width="0.69140625" style="85" customWidth="1"/>
    <col min="13077" max="13077" width="9.07421875" style="85" customWidth="1"/>
    <col min="13078" max="13078" width="1.07421875" style="85" customWidth="1"/>
    <col min="13079" max="13079" width="0.69140625" style="85" customWidth="1"/>
    <col min="13080" max="13080" width="9.53515625" style="85" bestFit="1" customWidth="1"/>
    <col min="13081" max="13082" width="0.69140625" style="85" customWidth="1"/>
    <col min="13083" max="13083" width="9.69140625" style="85" customWidth="1"/>
    <col min="13084" max="13084" width="1.07421875" style="85" customWidth="1"/>
    <col min="13085" max="13085" width="8.53515625" style="85" customWidth="1"/>
    <col min="13086" max="13086" width="14.53515625" style="85" customWidth="1"/>
    <col min="13087" max="13087" width="10" style="85" customWidth="1"/>
    <col min="13088" max="13088" width="7.69140625" style="85" bestFit="1" customWidth="1"/>
    <col min="13089" max="13089" width="9.69140625" style="85" customWidth="1"/>
    <col min="13090" max="13306" width="8.69140625" style="85"/>
    <col min="13307" max="13307" width="38.4609375" style="85" customWidth="1"/>
    <col min="13308" max="13308" width="8.53515625" style="85" customWidth="1"/>
    <col min="13309" max="13309" width="1.07421875" style="85" customWidth="1"/>
    <col min="13310" max="13310" width="8.69140625" style="85" customWidth="1"/>
    <col min="13311" max="13311" width="1.07421875" style="85" customWidth="1"/>
    <col min="13312" max="13312" width="9.07421875" style="85" customWidth="1"/>
    <col min="13313" max="13313" width="1.07421875" style="85" customWidth="1"/>
    <col min="13314" max="13314" width="10" style="85" customWidth="1"/>
    <col min="13315" max="13315" width="1.07421875" style="85" customWidth="1"/>
    <col min="13316" max="13316" width="9.07421875" style="85" customWidth="1"/>
    <col min="13317" max="13317" width="1.07421875" style="85" customWidth="1"/>
    <col min="13318" max="13318" width="11.07421875" style="85" customWidth="1"/>
    <col min="13319" max="13319" width="1.07421875" style="85" customWidth="1"/>
    <col min="13320" max="13320" width="9.07421875" style="85" customWidth="1"/>
    <col min="13321" max="13321" width="1.69140625" style="85" customWidth="1"/>
    <col min="13322" max="13322" width="11" style="85" customWidth="1"/>
    <col min="13323" max="13323" width="1.07421875" style="85" customWidth="1"/>
    <col min="13324" max="13324" width="10.69140625" style="85" customWidth="1"/>
    <col min="13325" max="13325" width="1.07421875" style="85" customWidth="1"/>
    <col min="13326" max="13326" width="10" style="85" customWidth="1"/>
    <col min="13327" max="13327" width="1.07421875" style="85" customWidth="1"/>
    <col min="13328" max="13328" width="9.07421875" style="85" customWidth="1"/>
    <col min="13329" max="13329" width="1.07421875" style="85" customWidth="1"/>
    <col min="13330" max="13330" width="7.69140625" style="85" customWidth="1"/>
    <col min="13331" max="13331" width="1.07421875" style="85" customWidth="1"/>
    <col min="13332" max="13332" width="0.69140625" style="85" customWidth="1"/>
    <col min="13333" max="13333" width="9.07421875" style="85" customWidth="1"/>
    <col min="13334" max="13334" width="1.07421875" style="85" customWidth="1"/>
    <col min="13335" max="13335" width="0.69140625" style="85" customWidth="1"/>
    <col min="13336" max="13336" width="9.53515625" style="85" bestFit="1" customWidth="1"/>
    <col min="13337" max="13338" width="0.69140625" style="85" customWidth="1"/>
    <col min="13339" max="13339" width="9.69140625" style="85" customWidth="1"/>
    <col min="13340" max="13340" width="1.07421875" style="85" customWidth="1"/>
    <col min="13341" max="13341" width="8.53515625" style="85" customWidth="1"/>
    <col min="13342" max="13342" width="14.53515625" style="85" customWidth="1"/>
    <col min="13343" max="13343" width="10" style="85" customWidth="1"/>
    <col min="13344" max="13344" width="7.69140625" style="85" bestFit="1" customWidth="1"/>
    <col min="13345" max="13345" width="9.69140625" style="85" customWidth="1"/>
    <col min="13346" max="13562" width="8.69140625" style="85"/>
    <col min="13563" max="13563" width="38.4609375" style="85" customWidth="1"/>
    <col min="13564" max="13564" width="8.53515625" style="85" customWidth="1"/>
    <col min="13565" max="13565" width="1.07421875" style="85" customWidth="1"/>
    <col min="13566" max="13566" width="8.69140625" style="85" customWidth="1"/>
    <col min="13567" max="13567" width="1.07421875" style="85" customWidth="1"/>
    <col min="13568" max="13568" width="9.07421875" style="85" customWidth="1"/>
    <col min="13569" max="13569" width="1.07421875" style="85" customWidth="1"/>
    <col min="13570" max="13570" width="10" style="85" customWidth="1"/>
    <col min="13571" max="13571" width="1.07421875" style="85" customWidth="1"/>
    <col min="13572" max="13572" width="9.07421875" style="85" customWidth="1"/>
    <col min="13573" max="13573" width="1.07421875" style="85" customWidth="1"/>
    <col min="13574" max="13574" width="11.07421875" style="85" customWidth="1"/>
    <col min="13575" max="13575" width="1.07421875" style="85" customWidth="1"/>
    <col min="13576" max="13576" width="9.07421875" style="85" customWidth="1"/>
    <col min="13577" max="13577" width="1.69140625" style="85" customWidth="1"/>
    <col min="13578" max="13578" width="11" style="85" customWidth="1"/>
    <col min="13579" max="13579" width="1.07421875" style="85" customWidth="1"/>
    <col min="13580" max="13580" width="10.69140625" style="85" customWidth="1"/>
    <col min="13581" max="13581" width="1.07421875" style="85" customWidth="1"/>
    <col min="13582" max="13582" width="10" style="85" customWidth="1"/>
    <col min="13583" max="13583" width="1.07421875" style="85" customWidth="1"/>
    <col min="13584" max="13584" width="9.07421875" style="85" customWidth="1"/>
    <col min="13585" max="13585" width="1.07421875" style="85" customWidth="1"/>
    <col min="13586" max="13586" width="7.69140625" style="85" customWidth="1"/>
    <col min="13587" max="13587" width="1.07421875" style="85" customWidth="1"/>
    <col min="13588" max="13588" width="0.69140625" style="85" customWidth="1"/>
    <col min="13589" max="13589" width="9.07421875" style="85" customWidth="1"/>
    <col min="13590" max="13590" width="1.07421875" style="85" customWidth="1"/>
    <col min="13591" max="13591" width="0.69140625" style="85" customWidth="1"/>
    <col min="13592" max="13592" width="9.53515625" style="85" bestFit="1" customWidth="1"/>
    <col min="13593" max="13594" width="0.69140625" style="85" customWidth="1"/>
    <col min="13595" max="13595" width="9.69140625" style="85" customWidth="1"/>
    <col min="13596" max="13596" width="1.07421875" style="85" customWidth="1"/>
    <col min="13597" max="13597" width="8.53515625" style="85" customWidth="1"/>
    <col min="13598" max="13598" width="14.53515625" style="85" customWidth="1"/>
    <col min="13599" max="13599" width="10" style="85" customWidth="1"/>
    <col min="13600" max="13600" width="7.69140625" style="85" bestFit="1" customWidth="1"/>
    <col min="13601" max="13601" width="9.69140625" style="85" customWidth="1"/>
    <col min="13602" max="13818" width="8.69140625" style="85"/>
    <col min="13819" max="13819" width="38.4609375" style="85" customWidth="1"/>
    <col min="13820" max="13820" width="8.53515625" style="85" customWidth="1"/>
    <col min="13821" max="13821" width="1.07421875" style="85" customWidth="1"/>
    <col min="13822" max="13822" width="8.69140625" style="85" customWidth="1"/>
    <col min="13823" max="13823" width="1.07421875" style="85" customWidth="1"/>
    <col min="13824" max="13824" width="9.07421875" style="85" customWidth="1"/>
    <col min="13825" max="13825" width="1.07421875" style="85" customWidth="1"/>
    <col min="13826" max="13826" width="10" style="85" customWidth="1"/>
    <col min="13827" max="13827" width="1.07421875" style="85" customWidth="1"/>
    <col min="13828" max="13828" width="9.07421875" style="85" customWidth="1"/>
    <col min="13829" max="13829" width="1.07421875" style="85" customWidth="1"/>
    <col min="13830" max="13830" width="11.07421875" style="85" customWidth="1"/>
    <col min="13831" max="13831" width="1.07421875" style="85" customWidth="1"/>
    <col min="13832" max="13832" width="9.07421875" style="85" customWidth="1"/>
    <col min="13833" max="13833" width="1.69140625" style="85" customWidth="1"/>
    <col min="13834" max="13834" width="11" style="85" customWidth="1"/>
    <col min="13835" max="13835" width="1.07421875" style="85" customWidth="1"/>
    <col min="13836" max="13836" width="10.69140625" style="85" customWidth="1"/>
    <col min="13837" max="13837" width="1.07421875" style="85" customWidth="1"/>
    <col min="13838" max="13838" width="10" style="85" customWidth="1"/>
    <col min="13839" max="13839" width="1.07421875" style="85" customWidth="1"/>
    <col min="13840" max="13840" width="9.07421875" style="85" customWidth="1"/>
    <col min="13841" max="13841" width="1.07421875" style="85" customWidth="1"/>
    <col min="13842" max="13842" width="7.69140625" style="85" customWidth="1"/>
    <col min="13843" max="13843" width="1.07421875" style="85" customWidth="1"/>
    <col min="13844" max="13844" width="0.69140625" style="85" customWidth="1"/>
    <col min="13845" max="13845" width="9.07421875" style="85" customWidth="1"/>
    <col min="13846" max="13846" width="1.07421875" style="85" customWidth="1"/>
    <col min="13847" max="13847" width="0.69140625" style="85" customWidth="1"/>
    <col min="13848" max="13848" width="9.53515625" style="85" bestFit="1" customWidth="1"/>
    <col min="13849" max="13850" width="0.69140625" style="85" customWidth="1"/>
    <col min="13851" max="13851" width="9.69140625" style="85" customWidth="1"/>
    <col min="13852" max="13852" width="1.07421875" style="85" customWidth="1"/>
    <col min="13853" max="13853" width="8.53515625" style="85" customWidth="1"/>
    <col min="13854" max="13854" width="14.53515625" style="85" customWidth="1"/>
    <col min="13855" max="13855" width="10" style="85" customWidth="1"/>
    <col min="13856" max="13856" width="7.69140625" style="85" bestFit="1" customWidth="1"/>
    <col min="13857" max="13857" width="9.69140625" style="85" customWidth="1"/>
    <col min="13858" max="14074" width="8.69140625" style="85"/>
    <col min="14075" max="14075" width="38.4609375" style="85" customWidth="1"/>
    <col min="14076" max="14076" width="8.53515625" style="85" customWidth="1"/>
    <col min="14077" max="14077" width="1.07421875" style="85" customWidth="1"/>
    <col min="14078" max="14078" width="8.69140625" style="85" customWidth="1"/>
    <col min="14079" max="14079" width="1.07421875" style="85" customWidth="1"/>
    <col min="14080" max="14080" width="9.07421875" style="85" customWidth="1"/>
    <col min="14081" max="14081" width="1.07421875" style="85" customWidth="1"/>
    <col min="14082" max="14082" width="10" style="85" customWidth="1"/>
    <col min="14083" max="14083" width="1.07421875" style="85" customWidth="1"/>
    <col min="14084" max="14084" width="9.07421875" style="85" customWidth="1"/>
    <col min="14085" max="14085" width="1.07421875" style="85" customWidth="1"/>
    <col min="14086" max="14086" width="11.07421875" style="85" customWidth="1"/>
    <col min="14087" max="14087" width="1.07421875" style="85" customWidth="1"/>
    <col min="14088" max="14088" width="9.07421875" style="85" customWidth="1"/>
    <col min="14089" max="14089" width="1.69140625" style="85" customWidth="1"/>
    <col min="14090" max="14090" width="11" style="85" customWidth="1"/>
    <col min="14091" max="14091" width="1.07421875" style="85" customWidth="1"/>
    <col min="14092" max="14092" width="10.69140625" style="85" customWidth="1"/>
    <col min="14093" max="14093" width="1.07421875" style="85" customWidth="1"/>
    <col min="14094" max="14094" width="10" style="85" customWidth="1"/>
    <col min="14095" max="14095" width="1.07421875" style="85" customWidth="1"/>
    <col min="14096" max="14096" width="9.07421875" style="85" customWidth="1"/>
    <col min="14097" max="14097" width="1.07421875" style="85" customWidth="1"/>
    <col min="14098" max="14098" width="7.69140625" style="85" customWidth="1"/>
    <col min="14099" max="14099" width="1.07421875" style="85" customWidth="1"/>
    <col min="14100" max="14100" width="0.69140625" style="85" customWidth="1"/>
    <col min="14101" max="14101" width="9.07421875" style="85" customWidth="1"/>
    <col min="14102" max="14102" width="1.07421875" style="85" customWidth="1"/>
    <col min="14103" max="14103" width="0.69140625" style="85" customWidth="1"/>
    <col min="14104" max="14104" width="9.53515625" style="85" bestFit="1" customWidth="1"/>
    <col min="14105" max="14106" width="0.69140625" style="85" customWidth="1"/>
    <col min="14107" max="14107" width="9.69140625" style="85" customWidth="1"/>
    <col min="14108" max="14108" width="1.07421875" style="85" customWidth="1"/>
    <col min="14109" max="14109" width="8.53515625" style="85" customWidth="1"/>
    <col min="14110" max="14110" width="14.53515625" style="85" customWidth="1"/>
    <col min="14111" max="14111" width="10" style="85" customWidth="1"/>
    <col min="14112" max="14112" width="7.69140625" style="85" bestFit="1" customWidth="1"/>
    <col min="14113" max="14113" width="9.69140625" style="85" customWidth="1"/>
    <col min="14114" max="14330" width="8.69140625" style="85"/>
    <col min="14331" max="14331" width="38.4609375" style="85" customWidth="1"/>
    <col min="14332" max="14332" width="8.53515625" style="85" customWidth="1"/>
    <col min="14333" max="14333" width="1.07421875" style="85" customWidth="1"/>
    <col min="14334" max="14334" width="8.69140625" style="85" customWidth="1"/>
    <col min="14335" max="14335" width="1.07421875" style="85" customWidth="1"/>
    <col min="14336" max="14336" width="9.07421875" style="85" customWidth="1"/>
    <col min="14337" max="14337" width="1.07421875" style="85" customWidth="1"/>
    <col min="14338" max="14338" width="10" style="85" customWidth="1"/>
    <col min="14339" max="14339" width="1.07421875" style="85" customWidth="1"/>
    <col min="14340" max="14340" width="9.07421875" style="85" customWidth="1"/>
    <col min="14341" max="14341" width="1.07421875" style="85" customWidth="1"/>
    <col min="14342" max="14342" width="11.07421875" style="85" customWidth="1"/>
    <col min="14343" max="14343" width="1.07421875" style="85" customWidth="1"/>
    <col min="14344" max="14344" width="9.07421875" style="85" customWidth="1"/>
    <col min="14345" max="14345" width="1.69140625" style="85" customWidth="1"/>
    <col min="14346" max="14346" width="11" style="85" customWidth="1"/>
    <col min="14347" max="14347" width="1.07421875" style="85" customWidth="1"/>
    <col min="14348" max="14348" width="10.69140625" style="85" customWidth="1"/>
    <col min="14349" max="14349" width="1.07421875" style="85" customWidth="1"/>
    <col min="14350" max="14350" width="10" style="85" customWidth="1"/>
    <col min="14351" max="14351" width="1.07421875" style="85" customWidth="1"/>
    <col min="14352" max="14352" width="9.07421875" style="85" customWidth="1"/>
    <col min="14353" max="14353" width="1.07421875" style="85" customWidth="1"/>
    <col min="14354" max="14354" width="7.69140625" style="85" customWidth="1"/>
    <col min="14355" max="14355" width="1.07421875" style="85" customWidth="1"/>
    <col min="14356" max="14356" width="0.69140625" style="85" customWidth="1"/>
    <col min="14357" max="14357" width="9.07421875" style="85" customWidth="1"/>
    <col min="14358" max="14358" width="1.07421875" style="85" customWidth="1"/>
    <col min="14359" max="14359" width="0.69140625" style="85" customWidth="1"/>
    <col min="14360" max="14360" width="9.53515625" style="85" bestFit="1" customWidth="1"/>
    <col min="14361" max="14362" width="0.69140625" style="85" customWidth="1"/>
    <col min="14363" max="14363" width="9.69140625" style="85" customWidth="1"/>
    <col min="14364" max="14364" width="1.07421875" style="85" customWidth="1"/>
    <col min="14365" max="14365" width="8.53515625" style="85" customWidth="1"/>
    <col min="14366" max="14366" width="14.53515625" style="85" customWidth="1"/>
    <col min="14367" max="14367" width="10" style="85" customWidth="1"/>
    <col min="14368" max="14368" width="7.69140625" style="85" bestFit="1" customWidth="1"/>
    <col min="14369" max="14369" width="9.69140625" style="85" customWidth="1"/>
    <col min="14370" max="14586" width="8.69140625" style="85"/>
    <col min="14587" max="14587" width="38.4609375" style="85" customWidth="1"/>
    <col min="14588" max="14588" width="8.53515625" style="85" customWidth="1"/>
    <col min="14589" max="14589" width="1.07421875" style="85" customWidth="1"/>
    <col min="14590" max="14590" width="8.69140625" style="85" customWidth="1"/>
    <col min="14591" max="14591" width="1.07421875" style="85" customWidth="1"/>
    <col min="14592" max="14592" width="9.07421875" style="85" customWidth="1"/>
    <col min="14593" max="14593" width="1.07421875" style="85" customWidth="1"/>
    <col min="14594" max="14594" width="10" style="85" customWidth="1"/>
    <col min="14595" max="14595" width="1.07421875" style="85" customWidth="1"/>
    <col min="14596" max="14596" width="9.07421875" style="85" customWidth="1"/>
    <col min="14597" max="14597" width="1.07421875" style="85" customWidth="1"/>
    <col min="14598" max="14598" width="11.07421875" style="85" customWidth="1"/>
    <col min="14599" max="14599" width="1.07421875" style="85" customWidth="1"/>
    <col min="14600" max="14600" width="9.07421875" style="85" customWidth="1"/>
    <col min="14601" max="14601" width="1.69140625" style="85" customWidth="1"/>
    <col min="14602" max="14602" width="11" style="85" customWidth="1"/>
    <col min="14603" max="14603" width="1.07421875" style="85" customWidth="1"/>
    <col min="14604" max="14604" width="10.69140625" style="85" customWidth="1"/>
    <col min="14605" max="14605" width="1.07421875" style="85" customWidth="1"/>
    <col min="14606" max="14606" width="10" style="85" customWidth="1"/>
    <col min="14607" max="14607" width="1.07421875" style="85" customWidth="1"/>
    <col min="14608" max="14608" width="9.07421875" style="85" customWidth="1"/>
    <col min="14609" max="14609" width="1.07421875" style="85" customWidth="1"/>
    <col min="14610" max="14610" width="7.69140625" style="85" customWidth="1"/>
    <col min="14611" max="14611" width="1.07421875" style="85" customWidth="1"/>
    <col min="14612" max="14612" width="0.69140625" style="85" customWidth="1"/>
    <col min="14613" max="14613" width="9.07421875" style="85" customWidth="1"/>
    <col min="14614" max="14614" width="1.07421875" style="85" customWidth="1"/>
    <col min="14615" max="14615" width="0.69140625" style="85" customWidth="1"/>
    <col min="14616" max="14616" width="9.53515625" style="85" bestFit="1" customWidth="1"/>
    <col min="14617" max="14618" width="0.69140625" style="85" customWidth="1"/>
    <col min="14619" max="14619" width="9.69140625" style="85" customWidth="1"/>
    <col min="14620" max="14620" width="1.07421875" style="85" customWidth="1"/>
    <col min="14621" max="14621" width="8.53515625" style="85" customWidth="1"/>
    <col min="14622" max="14622" width="14.53515625" style="85" customWidth="1"/>
    <col min="14623" max="14623" width="10" style="85" customWidth="1"/>
    <col min="14624" max="14624" width="7.69140625" style="85" bestFit="1" customWidth="1"/>
    <col min="14625" max="14625" width="9.69140625" style="85" customWidth="1"/>
    <col min="14626" max="14842" width="8.69140625" style="85"/>
    <col min="14843" max="14843" width="38.4609375" style="85" customWidth="1"/>
    <col min="14844" max="14844" width="8.53515625" style="85" customWidth="1"/>
    <col min="14845" max="14845" width="1.07421875" style="85" customWidth="1"/>
    <col min="14846" max="14846" width="8.69140625" style="85" customWidth="1"/>
    <col min="14847" max="14847" width="1.07421875" style="85" customWidth="1"/>
    <col min="14848" max="14848" width="9.07421875" style="85" customWidth="1"/>
    <col min="14849" max="14849" width="1.07421875" style="85" customWidth="1"/>
    <col min="14850" max="14850" width="10" style="85" customWidth="1"/>
    <col min="14851" max="14851" width="1.07421875" style="85" customWidth="1"/>
    <col min="14852" max="14852" width="9.07421875" style="85" customWidth="1"/>
    <col min="14853" max="14853" width="1.07421875" style="85" customWidth="1"/>
    <col min="14854" max="14854" width="11.07421875" style="85" customWidth="1"/>
    <col min="14855" max="14855" width="1.07421875" style="85" customWidth="1"/>
    <col min="14856" max="14856" width="9.07421875" style="85" customWidth="1"/>
    <col min="14857" max="14857" width="1.69140625" style="85" customWidth="1"/>
    <col min="14858" max="14858" width="11" style="85" customWidth="1"/>
    <col min="14859" max="14859" width="1.07421875" style="85" customWidth="1"/>
    <col min="14860" max="14860" width="10.69140625" style="85" customWidth="1"/>
    <col min="14861" max="14861" width="1.07421875" style="85" customWidth="1"/>
    <col min="14862" max="14862" width="10" style="85" customWidth="1"/>
    <col min="14863" max="14863" width="1.07421875" style="85" customWidth="1"/>
    <col min="14864" max="14864" width="9.07421875" style="85" customWidth="1"/>
    <col min="14865" max="14865" width="1.07421875" style="85" customWidth="1"/>
    <col min="14866" max="14866" width="7.69140625" style="85" customWidth="1"/>
    <col min="14867" max="14867" width="1.07421875" style="85" customWidth="1"/>
    <col min="14868" max="14868" width="0.69140625" style="85" customWidth="1"/>
    <col min="14869" max="14869" width="9.07421875" style="85" customWidth="1"/>
    <col min="14870" max="14870" width="1.07421875" style="85" customWidth="1"/>
    <col min="14871" max="14871" width="0.69140625" style="85" customWidth="1"/>
    <col min="14872" max="14872" width="9.53515625" style="85" bestFit="1" customWidth="1"/>
    <col min="14873" max="14874" width="0.69140625" style="85" customWidth="1"/>
    <col min="14875" max="14875" width="9.69140625" style="85" customWidth="1"/>
    <col min="14876" max="14876" width="1.07421875" style="85" customWidth="1"/>
    <col min="14877" max="14877" width="8.53515625" style="85" customWidth="1"/>
    <col min="14878" max="14878" width="14.53515625" style="85" customWidth="1"/>
    <col min="14879" max="14879" width="10" style="85" customWidth="1"/>
    <col min="14880" max="14880" width="7.69140625" style="85" bestFit="1" customWidth="1"/>
    <col min="14881" max="14881" width="9.69140625" style="85" customWidth="1"/>
    <col min="14882" max="15098" width="8.69140625" style="85"/>
    <col min="15099" max="15099" width="38.4609375" style="85" customWidth="1"/>
    <col min="15100" max="15100" width="8.53515625" style="85" customWidth="1"/>
    <col min="15101" max="15101" width="1.07421875" style="85" customWidth="1"/>
    <col min="15102" max="15102" width="8.69140625" style="85" customWidth="1"/>
    <col min="15103" max="15103" width="1.07421875" style="85" customWidth="1"/>
    <col min="15104" max="15104" width="9.07421875" style="85" customWidth="1"/>
    <col min="15105" max="15105" width="1.07421875" style="85" customWidth="1"/>
    <col min="15106" max="15106" width="10" style="85" customWidth="1"/>
    <col min="15107" max="15107" width="1.07421875" style="85" customWidth="1"/>
    <col min="15108" max="15108" width="9.07421875" style="85" customWidth="1"/>
    <col min="15109" max="15109" width="1.07421875" style="85" customWidth="1"/>
    <col min="15110" max="15110" width="11.07421875" style="85" customWidth="1"/>
    <col min="15111" max="15111" width="1.07421875" style="85" customWidth="1"/>
    <col min="15112" max="15112" width="9.07421875" style="85" customWidth="1"/>
    <col min="15113" max="15113" width="1.69140625" style="85" customWidth="1"/>
    <col min="15114" max="15114" width="11" style="85" customWidth="1"/>
    <col min="15115" max="15115" width="1.07421875" style="85" customWidth="1"/>
    <col min="15116" max="15116" width="10.69140625" style="85" customWidth="1"/>
    <col min="15117" max="15117" width="1.07421875" style="85" customWidth="1"/>
    <col min="15118" max="15118" width="10" style="85" customWidth="1"/>
    <col min="15119" max="15119" width="1.07421875" style="85" customWidth="1"/>
    <col min="15120" max="15120" width="9.07421875" style="85" customWidth="1"/>
    <col min="15121" max="15121" width="1.07421875" style="85" customWidth="1"/>
    <col min="15122" max="15122" width="7.69140625" style="85" customWidth="1"/>
    <col min="15123" max="15123" width="1.07421875" style="85" customWidth="1"/>
    <col min="15124" max="15124" width="0.69140625" style="85" customWidth="1"/>
    <col min="15125" max="15125" width="9.07421875" style="85" customWidth="1"/>
    <col min="15126" max="15126" width="1.07421875" style="85" customWidth="1"/>
    <col min="15127" max="15127" width="0.69140625" style="85" customWidth="1"/>
    <col min="15128" max="15128" width="9.53515625" style="85" bestFit="1" customWidth="1"/>
    <col min="15129" max="15130" width="0.69140625" style="85" customWidth="1"/>
    <col min="15131" max="15131" width="9.69140625" style="85" customWidth="1"/>
    <col min="15132" max="15132" width="1.07421875" style="85" customWidth="1"/>
    <col min="15133" max="15133" width="8.53515625" style="85" customWidth="1"/>
    <col min="15134" max="15134" width="14.53515625" style="85" customWidth="1"/>
    <col min="15135" max="15135" width="10" style="85" customWidth="1"/>
    <col min="15136" max="15136" width="7.69140625" style="85" bestFit="1" customWidth="1"/>
    <col min="15137" max="15137" width="9.69140625" style="85" customWidth="1"/>
    <col min="15138" max="15354" width="8.69140625" style="85"/>
    <col min="15355" max="15355" width="38.4609375" style="85" customWidth="1"/>
    <col min="15356" max="15356" width="8.53515625" style="85" customWidth="1"/>
    <col min="15357" max="15357" width="1.07421875" style="85" customWidth="1"/>
    <col min="15358" max="15358" width="8.69140625" style="85" customWidth="1"/>
    <col min="15359" max="15359" width="1.07421875" style="85" customWidth="1"/>
    <col min="15360" max="15360" width="9.07421875" style="85" customWidth="1"/>
    <col min="15361" max="15361" width="1.07421875" style="85" customWidth="1"/>
    <col min="15362" max="15362" width="10" style="85" customWidth="1"/>
    <col min="15363" max="15363" width="1.07421875" style="85" customWidth="1"/>
    <col min="15364" max="15364" width="9.07421875" style="85" customWidth="1"/>
    <col min="15365" max="15365" width="1.07421875" style="85" customWidth="1"/>
    <col min="15366" max="15366" width="11.07421875" style="85" customWidth="1"/>
    <col min="15367" max="15367" width="1.07421875" style="85" customWidth="1"/>
    <col min="15368" max="15368" width="9.07421875" style="85" customWidth="1"/>
    <col min="15369" max="15369" width="1.69140625" style="85" customWidth="1"/>
    <col min="15370" max="15370" width="11" style="85" customWidth="1"/>
    <col min="15371" max="15371" width="1.07421875" style="85" customWidth="1"/>
    <col min="15372" max="15372" width="10.69140625" style="85" customWidth="1"/>
    <col min="15373" max="15373" width="1.07421875" style="85" customWidth="1"/>
    <col min="15374" max="15374" width="10" style="85" customWidth="1"/>
    <col min="15375" max="15375" width="1.07421875" style="85" customWidth="1"/>
    <col min="15376" max="15376" width="9.07421875" style="85" customWidth="1"/>
    <col min="15377" max="15377" width="1.07421875" style="85" customWidth="1"/>
    <col min="15378" max="15378" width="7.69140625" style="85" customWidth="1"/>
    <col min="15379" max="15379" width="1.07421875" style="85" customWidth="1"/>
    <col min="15380" max="15380" width="0.69140625" style="85" customWidth="1"/>
    <col min="15381" max="15381" width="9.07421875" style="85" customWidth="1"/>
    <col min="15382" max="15382" width="1.07421875" style="85" customWidth="1"/>
    <col min="15383" max="15383" width="0.69140625" style="85" customWidth="1"/>
    <col min="15384" max="15384" width="9.53515625" style="85" bestFit="1" customWidth="1"/>
    <col min="15385" max="15386" width="0.69140625" style="85" customWidth="1"/>
    <col min="15387" max="15387" width="9.69140625" style="85" customWidth="1"/>
    <col min="15388" max="15388" width="1.07421875" style="85" customWidth="1"/>
    <col min="15389" max="15389" width="8.53515625" style="85" customWidth="1"/>
    <col min="15390" max="15390" width="14.53515625" style="85" customWidth="1"/>
    <col min="15391" max="15391" width="10" style="85" customWidth="1"/>
    <col min="15392" max="15392" width="7.69140625" style="85" bestFit="1" customWidth="1"/>
    <col min="15393" max="15393" width="9.69140625" style="85" customWidth="1"/>
    <col min="15394" max="15610" width="8.69140625" style="85"/>
    <col min="15611" max="15611" width="38.4609375" style="85" customWidth="1"/>
    <col min="15612" max="15612" width="8.53515625" style="85" customWidth="1"/>
    <col min="15613" max="15613" width="1.07421875" style="85" customWidth="1"/>
    <col min="15614" max="15614" width="8.69140625" style="85" customWidth="1"/>
    <col min="15615" max="15615" width="1.07421875" style="85" customWidth="1"/>
    <col min="15616" max="15616" width="9.07421875" style="85" customWidth="1"/>
    <col min="15617" max="15617" width="1.07421875" style="85" customWidth="1"/>
    <col min="15618" max="15618" width="10" style="85" customWidth="1"/>
    <col min="15619" max="15619" width="1.07421875" style="85" customWidth="1"/>
    <col min="15620" max="15620" width="9.07421875" style="85" customWidth="1"/>
    <col min="15621" max="15621" width="1.07421875" style="85" customWidth="1"/>
    <col min="15622" max="15622" width="11.07421875" style="85" customWidth="1"/>
    <col min="15623" max="15623" width="1.07421875" style="85" customWidth="1"/>
    <col min="15624" max="15624" width="9.07421875" style="85" customWidth="1"/>
    <col min="15625" max="15625" width="1.69140625" style="85" customWidth="1"/>
    <col min="15626" max="15626" width="11" style="85" customWidth="1"/>
    <col min="15627" max="15627" width="1.07421875" style="85" customWidth="1"/>
    <col min="15628" max="15628" width="10.69140625" style="85" customWidth="1"/>
    <col min="15629" max="15629" width="1.07421875" style="85" customWidth="1"/>
    <col min="15630" max="15630" width="10" style="85" customWidth="1"/>
    <col min="15631" max="15631" width="1.07421875" style="85" customWidth="1"/>
    <col min="15632" max="15632" width="9.07421875" style="85" customWidth="1"/>
    <col min="15633" max="15633" width="1.07421875" style="85" customWidth="1"/>
    <col min="15634" max="15634" width="7.69140625" style="85" customWidth="1"/>
    <col min="15635" max="15635" width="1.07421875" style="85" customWidth="1"/>
    <col min="15636" max="15636" width="0.69140625" style="85" customWidth="1"/>
    <col min="15637" max="15637" width="9.07421875" style="85" customWidth="1"/>
    <col min="15638" max="15638" width="1.07421875" style="85" customWidth="1"/>
    <col min="15639" max="15639" width="0.69140625" style="85" customWidth="1"/>
    <col min="15640" max="15640" width="9.53515625" style="85" bestFit="1" customWidth="1"/>
    <col min="15641" max="15642" width="0.69140625" style="85" customWidth="1"/>
    <col min="15643" max="15643" width="9.69140625" style="85" customWidth="1"/>
    <col min="15644" max="15644" width="1.07421875" style="85" customWidth="1"/>
    <col min="15645" max="15645" width="8.53515625" style="85" customWidth="1"/>
    <col min="15646" max="15646" width="14.53515625" style="85" customWidth="1"/>
    <col min="15647" max="15647" width="10" style="85" customWidth="1"/>
    <col min="15648" max="15648" width="7.69140625" style="85" bestFit="1" customWidth="1"/>
    <col min="15649" max="15649" width="9.69140625" style="85" customWidth="1"/>
    <col min="15650" max="15866" width="8.69140625" style="85"/>
    <col min="15867" max="15867" width="38.4609375" style="85" customWidth="1"/>
    <col min="15868" max="15868" width="8.53515625" style="85" customWidth="1"/>
    <col min="15869" max="15869" width="1.07421875" style="85" customWidth="1"/>
    <col min="15870" max="15870" width="8.69140625" style="85" customWidth="1"/>
    <col min="15871" max="15871" width="1.07421875" style="85" customWidth="1"/>
    <col min="15872" max="15872" width="9.07421875" style="85" customWidth="1"/>
    <col min="15873" max="15873" width="1.07421875" style="85" customWidth="1"/>
    <col min="15874" max="15874" width="10" style="85" customWidth="1"/>
    <col min="15875" max="15875" width="1.07421875" style="85" customWidth="1"/>
    <col min="15876" max="15876" width="9.07421875" style="85" customWidth="1"/>
    <col min="15877" max="15877" width="1.07421875" style="85" customWidth="1"/>
    <col min="15878" max="15878" width="11.07421875" style="85" customWidth="1"/>
    <col min="15879" max="15879" width="1.07421875" style="85" customWidth="1"/>
    <col min="15880" max="15880" width="9.07421875" style="85" customWidth="1"/>
    <col min="15881" max="15881" width="1.69140625" style="85" customWidth="1"/>
    <col min="15882" max="15882" width="11" style="85" customWidth="1"/>
    <col min="15883" max="15883" width="1.07421875" style="85" customWidth="1"/>
    <col min="15884" max="15884" width="10.69140625" style="85" customWidth="1"/>
    <col min="15885" max="15885" width="1.07421875" style="85" customWidth="1"/>
    <col min="15886" max="15886" width="10" style="85" customWidth="1"/>
    <col min="15887" max="15887" width="1.07421875" style="85" customWidth="1"/>
    <col min="15888" max="15888" width="9.07421875" style="85" customWidth="1"/>
    <col min="15889" max="15889" width="1.07421875" style="85" customWidth="1"/>
    <col min="15890" max="15890" width="7.69140625" style="85" customWidth="1"/>
    <col min="15891" max="15891" width="1.07421875" style="85" customWidth="1"/>
    <col min="15892" max="15892" width="0.69140625" style="85" customWidth="1"/>
    <col min="15893" max="15893" width="9.07421875" style="85" customWidth="1"/>
    <col min="15894" max="15894" width="1.07421875" style="85" customWidth="1"/>
    <col min="15895" max="15895" width="0.69140625" style="85" customWidth="1"/>
    <col min="15896" max="15896" width="9.53515625" style="85" bestFit="1" customWidth="1"/>
    <col min="15897" max="15898" width="0.69140625" style="85" customWidth="1"/>
    <col min="15899" max="15899" width="9.69140625" style="85" customWidth="1"/>
    <col min="15900" max="15900" width="1.07421875" style="85" customWidth="1"/>
    <col min="15901" max="15901" width="8.53515625" style="85" customWidth="1"/>
    <col min="15902" max="15902" width="14.53515625" style="85" customWidth="1"/>
    <col min="15903" max="15903" width="10" style="85" customWidth="1"/>
    <col min="15904" max="15904" width="7.69140625" style="85" bestFit="1" customWidth="1"/>
    <col min="15905" max="15905" width="9.69140625" style="85" customWidth="1"/>
    <col min="15906" max="16122" width="8.69140625" style="85"/>
    <col min="16123" max="16123" width="38.4609375" style="85" customWidth="1"/>
    <col min="16124" max="16124" width="8.53515625" style="85" customWidth="1"/>
    <col min="16125" max="16125" width="1.07421875" style="85" customWidth="1"/>
    <col min="16126" max="16126" width="8.69140625" style="85" customWidth="1"/>
    <col min="16127" max="16127" width="1.07421875" style="85" customWidth="1"/>
    <col min="16128" max="16128" width="9.07421875" style="85" customWidth="1"/>
    <col min="16129" max="16129" width="1.07421875" style="85" customWidth="1"/>
    <col min="16130" max="16130" width="10" style="85" customWidth="1"/>
    <col min="16131" max="16131" width="1.07421875" style="85" customWidth="1"/>
    <col min="16132" max="16132" width="9.07421875" style="85" customWidth="1"/>
    <col min="16133" max="16133" width="1.07421875" style="85" customWidth="1"/>
    <col min="16134" max="16134" width="11.07421875" style="85" customWidth="1"/>
    <col min="16135" max="16135" width="1.07421875" style="85" customWidth="1"/>
    <col min="16136" max="16136" width="9.07421875" style="85" customWidth="1"/>
    <col min="16137" max="16137" width="1.69140625" style="85" customWidth="1"/>
    <col min="16138" max="16138" width="11" style="85" customWidth="1"/>
    <col min="16139" max="16139" width="1.07421875" style="85" customWidth="1"/>
    <col min="16140" max="16140" width="10.69140625" style="85" customWidth="1"/>
    <col min="16141" max="16141" width="1.07421875" style="85" customWidth="1"/>
    <col min="16142" max="16142" width="10" style="85" customWidth="1"/>
    <col min="16143" max="16143" width="1.07421875" style="85" customWidth="1"/>
    <col min="16144" max="16144" width="9.07421875" style="85" customWidth="1"/>
    <col min="16145" max="16145" width="1.07421875" style="85" customWidth="1"/>
    <col min="16146" max="16146" width="7.69140625" style="85" customWidth="1"/>
    <col min="16147" max="16147" width="1.07421875" style="85" customWidth="1"/>
    <col min="16148" max="16148" width="0.69140625" style="85" customWidth="1"/>
    <col min="16149" max="16149" width="9.07421875" style="85" customWidth="1"/>
    <col min="16150" max="16150" width="1.07421875" style="85" customWidth="1"/>
    <col min="16151" max="16151" width="0.69140625" style="85" customWidth="1"/>
    <col min="16152" max="16152" width="9.53515625" style="85" bestFit="1" customWidth="1"/>
    <col min="16153" max="16154" width="0.69140625" style="85" customWidth="1"/>
    <col min="16155" max="16155" width="9.69140625" style="85" customWidth="1"/>
    <col min="16156" max="16156" width="1.07421875" style="85" customWidth="1"/>
    <col min="16157" max="16157" width="8.53515625" style="85" customWidth="1"/>
    <col min="16158" max="16158" width="14.53515625" style="85" customWidth="1"/>
    <col min="16159" max="16159" width="10" style="85" customWidth="1"/>
    <col min="16160" max="16160" width="7.69140625" style="85" bestFit="1" customWidth="1"/>
    <col min="16161" max="16161" width="9.69140625" style="85" customWidth="1"/>
    <col min="16162" max="16384" width="8.69140625" style="85"/>
  </cols>
  <sheetData>
    <row r="1" spans="1:37" ht="15.5">
      <c r="A1" s="294" t="s">
        <v>97</v>
      </c>
    </row>
    <row r="2" spans="1:37" ht="10.5" customHeight="1"/>
    <row r="3" spans="1:37" ht="18">
      <c r="A3" s="739" t="s">
        <v>98</v>
      </c>
      <c r="AI3" s="740" t="s">
        <v>547</v>
      </c>
    </row>
    <row r="4" spans="1:37" ht="18">
      <c r="A4" s="86" t="s">
        <v>548</v>
      </c>
    </row>
    <row r="5" spans="1:37" ht="18">
      <c r="A5" s="86" t="s">
        <v>452</v>
      </c>
      <c r="AB5" s="2127"/>
      <c r="AC5" s="2128"/>
      <c r="AD5" s="2128"/>
      <c r="AE5" s="1253"/>
      <c r="AF5" s="1253"/>
      <c r="AG5" s="1253"/>
      <c r="AH5" s="1253"/>
      <c r="AI5" s="1253"/>
    </row>
    <row r="6" spans="1:37" ht="18">
      <c r="A6" s="739" t="str">
        <f>'Cashflow Governmental'!A6</f>
        <v>FISCAL YEAR 2024-2025</v>
      </c>
    </row>
    <row r="7" spans="1:37" ht="18">
      <c r="A7" s="86" t="s">
        <v>102</v>
      </c>
    </row>
    <row r="8" spans="1:37" ht="18">
      <c r="A8" s="86"/>
      <c r="AJ8" s="85"/>
    </row>
    <row r="9" spans="1:37" ht="15.5">
      <c r="B9" s="1633"/>
      <c r="Z9" s="2124" t="str">
        <f>'Cashflow Governmental'!$AB$12</f>
        <v>11 Months Ended February 28</v>
      </c>
      <c r="AA9" s="2124"/>
      <c r="AB9" s="2124"/>
      <c r="AC9" s="2124"/>
      <c r="AD9" s="2124"/>
      <c r="AE9" s="2124"/>
      <c r="AF9" s="2124"/>
      <c r="AG9" s="2124"/>
      <c r="AH9" s="2124"/>
      <c r="AI9" s="2124"/>
      <c r="AJ9" s="85"/>
    </row>
    <row r="10" spans="1:37" ht="15.5">
      <c r="B10" s="741" t="str">
        <f>'Cashflow Governmental'!C13</f>
        <v>2024</v>
      </c>
      <c r="C10" s="88"/>
      <c r="D10" s="88"/>
      <c r="E10" s="88"/>
      <c r="F10" s="1159"/>
      <c r="G10" s="88"/>
      <c r="H10" s="88"/>
      <c r="I10" s="88"/>
      <c r="J10" s="88"/>
      <c r="K10" s="88"/>
      <c r="L10" s="88"/>
      <c r="M10" s="88"/>
      <c r="N10" s="88"/>
      <c r="O10" s="88"/>
      <c r="P10" s="88"/>
      <c r="Q10" s="88"/>
      <c r="R10" s="88"/>
      <c r="S10" s="88"/>
      <c r="T10" s="741">
        <f>'Cashflow Governmental'!U13</f>
        <v>2025</v>
      </c>
      <c r="U10" s="88"/>
      <c r="V10" s="88"/>
      <c r="W10" s="88"/>
      <c r="X10" s="741"/>
      <c r="Y10" s="88"/>
      <c r="Z10" s="88"/>
      <c r="AA10" s="88"/>
      <c r="AB10" s="88"/>
      <c r="AC10" s="88"/>
      <c r="AD10" s="88"/>
      <c r="AE10" s="88"/>
      <c r="AF10" s="88"/>
      <c r="AG10" s="742" t="s">
        <v>110</v>
      </c>
      <c r="AH10" s="743"/>
      <c r="AI10" s="744" t="s">
        <v>111</v>
      </c>
      <c r="AJ10" s="85"/>
    </row>
    <row r="11" spans="1:37" ht="15.5">
      <c r="B11" s="1081" t="s">
        <v>336</v>
      </c>
      <c r="C11" s="88"/>
      <c r="D11" s="1081" t="s">
        <v>337</v>
      </c>
      <c r="E11" s="741"/>
      <c r="F11" s="1082" t="s">
        <v>338</v>
      </c>
      <c r="G11" s="741"/>
      <c r="H11" s="1081" t="s">
        <v>339</v>
      </c>
      <c r="I11" s="741"/>
      <c r="J11" s="1081" t="s">
        <v>340</v>
      </c>
      <c r="K11" s="741"/>
      <c r="L11" s="1254" t="s">
        <v>453</v>
      </c>
      <c r="M11" s="741"/>
      <c r="N11" s="1081" t="s">
        <v>454</v>
      </c>
      <c r="O11" s="741"/>
      <c r="P11" s="1081" t="s">
        <v>343</v>
      </c>
      <c r="Q11" s="741"/>
      <c r="R11" s="1081" t="s">
        <v>344</v>
      </c>
      <c r="S11" s="88"/>
      <c r="T11" s="1081" t="s">
        <v>345</v>
      </c>
      <c r="U11" s="741"/>
      <c r="V11" s="1081" t="s">
        <v>346</v>
      </c>
      <c r="W11" s="741"/>
      <c r="X11" s="1081" t="s">
        <v>455</v>
      </c>
      <c r="Y11" s="741"/>
      <c r="Z11" s="741"/>
      <c r="AA11" s="1081" t="str">
        <f>'Cashflow Governmental'!AB14</f>
        <v>2025</v>
      </c>
      <c r="AB11" s="741"/>
      <c r="AC11" s="741"/>
      <c r="AD11" s="1081" t="str">
        <f>'Cashflow Governmental'!AE14</f>
        <v>2024</v>
      </c>
      <c r="AE11" s="741"/>
      <c r="AF11" s="741"/>
      <c r="AG11" s="1082" t="s">
        <v>112</v>
      </c>
      <c r="AH11" s="743"/>
      <c r="AI11" s="1082" t="s">
        <v>113</v>
      </c>
    </row>
    <row r="12" spans="1:37" ht="3" customHeight="1">
      <c r="B12" s="921"/>
      <c r="C12" s="752"/>
      <c r="D12" s="921"/>
      <c r="E12" s="921"/>
      <c r="F12" s="1083"/>
      <c r="G12" s="921"/>
      <c r="H12" s="921"/>
      <c r="I12" s="921"/>
      <c r="J12" s="921"/>
      <c r="K12" s="921"/>
      <c r="L12" s="1084"/>
      <c r="M12" s="921"/>
      <c r="N12" s="921"/>
      <c r="O12" s="921"/>
      <c r="P12" s="921"/>
      <c r="Q12" s="921"/>
      <c r="R12" s="921"/>
      <c r="S12" s="752"/>
      <c r="T12" s="1085"/>
      <c r="U12" s="921"/>
      <c r="V12" s="921"/>
      <c r="W12" s="921"/>
      <c r="X12" s="921"/>
      <c r="Y12" s="921"/>
      <c r="Z12" s="921"/>
      <c r="AA12" s="921"/>
      <c r="AB12" s="921"/>
      <c r="AC12" s="921"/>
      <c r="AD12" s="921"/>
      <c r="AE12" s="921"/>
      <c r="AF12" s="921"/>
      <c r="AG12" s="921"/>
      <c r="AH12" s="752"/>
      <c r="AI12" s="752"/>
    </row>
    <row r="13" spans="1:37" ht="15.5">
      <c r="A13" s="745" t="s">
        <v>549</v>
      </c>
      <c r="B13" s="87">
        <v>104.6</v>
      </c>
      <c r="C13" s="87"/>
      <c r="D13" s="746">
        <f>B78</f>
        <v>347.9</v>
      </c>
      <c r="E13" s="746"/>
      <c r="F13" s="746">
        <f>D78</f>
        <v>260.8</v>
      </c>
      <c r="G13" s="87"/>
      <c r="H13" s="746">
        <f>F78</f>
        <v>349.9</v>
      </c>
      <c r="I13" s="87"/>
      <c r="J13" s="746">
        <f>H78</f>
        <v>467.1</v>
      </c>
      <c r="K13" s="87"/>
      <c r="L13" s="746">
        <f>J78</f>
        <v>745.3</v>
      </c>
      <c r="M13" s="87"/>
      <c r="N13" s="746">
        <f>L78</f>
        <v>79.099999999999994</v>
      </c>
      <c r="O13" s="87"/>
      <c r="P13" s="746">
        <f>N78</f>
        <v>312.10000000000002</v>
      </c>
      <c r="Q13" s="746"/>
      <c r="R13" s="746">
        <f>P78</f>
        <v>368.5</v>
      </c>
      <c r="S13" s="746"/>
      <c r="T13" s="746">
        <f>R78</f>
        <v>433.9</v>
      </c>
      <c r="U13" s="746"/>
      <c r="V13" s="746">
        <f>T78</f>
        <v>1567</v>
      </c>
      <c r="W13" s="746"/>
      <c r="X13" s="746"/>
      <c r="Y13" s="1268"/>
      <c r="Z13" s="87"/>
      <c r="AA13" s="87">
        <f>B13</f>
        <v>104.6</v>
      </c>
      <c r="AB13" s="1268"/>
      <c r="AC13" s="87"/>
      <c r="AD13" s="2073">
        <v>159.4</v>
      </c>
      <c r="AE13" s="1916"/>
      <c r="AF13" s="747"/>
      <c r="AG13" s="87">
        <f>ROUND(SUM(AA13-AD13),1)</f>
        <v>-54.8</v>
      </c>
      <c r="AH13" s="88"/>
      <c r="AI13" s="748">
        <f>ROUND(SUM(AG13/AD13),3)</f>
        <v>-0.34399999999999997</v>
      </c>
      <c r="AJ13" s="1634"/>
      <c r="AK13" s="1610"/>
    </row>
    <row r="14" spans="1:37" ht="12.75" customHeight="1">
      <c r="A14" s="752"/>
      <c r="B14" s="752"/>
      <c r="C14" s="752"/>
      <c r="D14" s="752"/>
      <c r="E14" s="752"/>
      <c r="F14" s="920"/>
      <c r="G14" s="752"/>
      <c r="H14" s="920"/>
      <c r="I14" s="752"/>
      <c r="J14" s="752"/>
      <c r="K14" s="752"/>
      <c r="L14" s="752"/>
      <c r="M14" s="752"/>
      <c r="N14" s="752"/>
      <c r="O14" s="752"/>
      <c r="P14" s="752"/>
      <c r="Q14" s="752"/>
      <c r="R14" s="752"/>
      <c r="S14" s="752"/>
      <c r="T14" s="752"/>
      <c r="U14" s="752"/>
      <c r="V14" s="752"/>
      <c r="W14" s="752"/>
      <c r="X14" s="752"/>
      <c r="Y14" s="1269"/>
      <c r="Z14" s="752"/>
      <c r="AA14" s="920"/>
      <c r="AB14" s="1270"/>
      <c r="AC14" s="920"/>
      <c r="AD14" s="564"/>
      <c r="AE14" s="921"/>
      <c r="AF14" s="922"/>
      <c r="AG14" s="920"/>
      <c r="AH14" s="752"/>
      <c r="AI14" s="752"/>
      <c r="AJ14" s="1634"/>
      <c r="AK14" s="1610"/>
    </row>
    <row r="15" spans="1:37" ht="14.25" customHeight="1">
      <c r="A15" s="88" t="s">
        <v>114</v>
      </c>
      <c r="B15" s="752"/>
      <c r="C15" s="752"/>
      <c r="D15" s="752"/>
      <c r="E15" s="752"/>
      <c r="F15" s="920"/>
      <c r="G15" s="752"/>
      <c r="H15" s="920"/>
      <c r="I15" s="752"/>
      <c r="J15" s="752"/>
      <c r="K15" s="752"/>
      <c r="L15" s="752"/>
      <c r="M15" s="752"/>
      <c r="N15" s="752"/>
      <c r="O15" s="752"/>
      <c r="P15" s="752"/>
      <c r="Q15" s="752"/>
      <c r="R15" s="752"/>
      <c r="S15" s="752"/>
      <c r="T15" s="752"/>
      <c r="U15" s="752"/>
      <c r="V15" s="752"/>
      <c r="W15" s="752"/>
      <c r="X15" s="752"/>
      <c r="Y15" s="1269"/>
      <c r="Z15" s="752"/>
      <c r="AA15" s="920"/>
      <c r="AB15" s="1270"/>
      <c r="AC15" s="920"/>
      <c r="AD15" s="564"/>
      <c r="AE15" s="921"/>
      <c r="AF15" s="922"/>
      <c r="AG15" s="920"/>
      <c r="AH15" s="752"/>
      <c r="AI15" s="752"/>
      <c r="AJ15" s="1634"/>
      <c r="AK15" s="1610"/>
    </row>
    <row r="16" spans="1:37" ht="14.25" customHeight="1">
      <c r="A16" s="1248" t="s">
        <v>349</v>
      </c>
      <c r="B16" s="66"/>
      <c r="C16" s="66"/>
      <c r="D16" s="66"/>
      <c r="E16" s="197"/>
      <c r="F16" s="66"/>
      <c r="G16" s="197"/>
      <c r="H16" s="66"/>
      <c r="I16" s="752"/>
      <c r="J16" s="752"/>
      <c r="K16" s="752"/>
      <c r="L16" s="752"/>
      <c r="M16" s="752"/>
      <c r="N16" s="752"/>
      <c r="O16" s="752"/>
      <c r="P16" s="752"/>
      <c r="Q16" s="752"/>
      <c r="R16" s="752"/>
      <c r="S16" s="752"/>
      <c r="T16" s="752"/>
      <c r="U16" s="752"/>
      <c r="V16" s="752"/>
      <c r="W16" s="752"/>
      <c r="X16" s="752"/>
      <c r="Y16" s="1269"/>
      <c r="Z16" s="752"/>
      <c r="AA16" s="920"/>
      <c r="AB16" s="1270"/>
      <c r="AC16" s="920"/>
      <c r="AD16" s="66"/>
      <c r="AE16" s="921"/>
      <c r="AF16" s="922"/>
      <c r="AG16" s="920"/>
      <c r="AH16" s="752"/>
      <c r="AI16" s="752"/>
      <c r="AJ16" s="1634"/>
      <c r="AK16" s="1610"/>
    </row>
    <row r="17" spans="1:37" ht="14.25" customHeight="1">
      <c r="A17" s="423" t="s">
        <v>487</v>
      </c>
      <c r="B17" s="542">
        <v>3649.7</v>
      </c>
      <c r="C17" s="523"/>
      <c r="D17" s="542">
        <v>1926.6000000000004</v>
      </c>
      <c r="E17" s="523"/>
      <c r="F17" s="542">
        <v>2552.0999999999995</v>
      </c>
      <c r="G17" s="523"/>
      <c r="H17" s="542">
        <v>2091.3000000000011</v>
      </c>
      <c r="I17" s="564"/>
      <c r="J17" s="542">
        <v>1755.9000000000005</v>
      </c>
      <c r="K17" s="564"/>
      <c r="L17" s="542">
        <v>2487.7999999999993</v>
      </c>
      <c r="M17" s="564"/>
      <c r="N17" s="542">
        <v>1370.8999999999978</v>
      </c>
      <c r="O17" s="564"/>
      <c r="P17" s="523">
        <v>1830.2999999999993</v>
      </c>
      <c r="Q17" s="523"/>
      <c r="R17" s="523">
        <v>2697.5</v>
      </c>
      <c r="S17" s="523"/>
      <c r="T17" s="523">
        <v>4559.2000000000007</v>
      </c>
      <c r="U17" s="523"/>
      <c r="V17" s="523">
        <f>$AA17-SUM($B17:T17)</f>
        <v>3114.4000000000015</v>
      </c>
      <c r="W17" s="523"/>
      <c r="X17" s="523"/>
      <c r="Y17" s="1269"/>
      <c r="Z17" s="752"/>
      <c r="AA17" s="542">
        <v>28035.7</v>
      </c>
      <c r="AB17" s="286"/>
      <c r="AC17" s="1871"/>
      <c r="AD17" s="542">
        <v>24757.4</v>
      </c>
      <c r="AE17" s="921"/>
      <c r="AF17" s="922"/>
      <c r="AG17" s="963">
        <f>ROUND(SUM(AA17-AD17),1)</f>
        <v>3278.3</v>
      </c>
      <c r="AH17" s="752"/>
      <c r="AI17" s="276">
        <f>ROUND(IF(AD17=0,0,AG17/ABS(AD17)),3)</f>
        <v>0.13200000000000001</v>
      </c>
      <c r="AJ17" s="1634"/>
      <c r="AK17" s="1610"/>
    </row>
    <row r="18" spans="1:37" ht="6" customHeight="1">
      <c r="A18" s="423"/>
      <c r="B18" s="523"/>
      <c r="C18" s="542"/>
      <c r="D18" s="523"/>
      <c r="E18" s="542"/>
      <c r="F18" s="523"/>
      <c r="G18" s="301"/>
      <c r="H18" s="523"/>
      <c r="I18" s="752"/>
      <c r="J18" s="523"/>
      <c r="K18" s="752"/>
      <c r="L18" s="523"/>
      <c r="M18" s="752"/>
      <c r="N18" s="523"/>
      <c r="O18" s="752"/>
      <c r="P18" s="523"/>
      <c r="Q18" s="752"/>
      <c r="R18" s="523"/>
      <c r="S18" s="752"/>
      <c r="T18" s="523"/>
      <c r="U18" s="752"/>
      <c r="V18" s="523"/>
      <c r="W18" s="752"/>
      <c r="X18" s="523"/>
      <c r="Y18" s="1269"/>
      <c r="Z18" s="752"/>
      <c r="AA18" s="523"/>
      <c r="AB18" s="1270"/>
      <c r="AC18" s="920"/>
      <c r="AD18" s="523"/>
      <c r="AE18" s="921"/>
      <c r="AF18" s="922"/>
      <c r="AG18" s="963"/>
      <c r="AH18" s="752"/>
      <c r="AI18" s="276"/>
      <c r="AJ18" s="1634"/>
      <c r="AK18" s="1610"/>
    </row>
    <row r="19" spans="1:37" ht="14.25" customHeight="1">
      <c r="A19" s="423" t="s">
        <v>361</v>
      </c>
      <c r="B19" s="13"/>
      <c r="C19" s="274"/>
      <c r="D19" s="523"/>
      <c r="E19" s="274"/>
      <c r="F19" s="523"/>
      <c r="G19" s="274"/>
      <c r="H19" s="523"/>
      <c r="I19" s="752"/>
      <c r="J19" s="523"/>
      <c r="K19" s="752"/>
      <c r="L19" s="523"/>
      <c r="M19" s="752"/>
      <c r="N19" s="523"/>
      <c r="O19" s="752"/>
      <c r="P19" s="523"/>
      <c r="Q19" s="752"/>
      <c r="R19" s="523"/>
      <c r="S19" s="752"/>
      <c r="T19" s="523"/>
      <c r="U19" s="752"/>
      <c r="V19" s="523"/>
      <c r="W19" s="752"/>
      <c r="X19" s="523"/>
      <c r="Y19" s="1269"/>
      <c r="Z19" s="752"/>
      <c r="AA19" s="13"/>
      <c r="AB19" s="1270"/>
      <c r="AC19" s="920"/>
      <c r="AD19" s="13"/>
      <c r="AE19" s="921"/>
      <c r="AF19" s="922"/>
      <c r="AG19" s="920"/>
      <c r="AH19" s="752"/>
      <c r="AI19" s="752"/>
      <c r="AJ19" s="1634"/>
      <c r="AK19" s="1610"/>
    </row>
    <row r="20" spans="1:37" ht="14.25" customHeight="1">
      <c r="A20" s="294" t="s">
        <v>362</v>
      </c>
      <c r="B20" s="542">
        <v>702</v>
      </c>
      <c r="C20" s="542"/>
      <c r="D20" s="542">
        <v>721.8</v>
      </c>
      <c r="E20" s="542"/>
      <c r="F20" s="542">
        <v>923.00000000000023</v>
      </c>
      <c r="G20" s="274"/>
      <c r="H20" s="542">
        <v>745.09999999999991</v>
      </c>
      <c r="I20" s="564"/>
      <c r="J20" s="542">
        <v>750.39999999999986</v>
      </c>
      <c r="K20" s="564"/>
      <c r="L20" s="542">
        <v>923.7</v>
      </c>
      <c r="M20" s="564"/>
      <c r="N20" s="542">
        <v>748.60000000000036</v>
      </c>
      <c r="O20" s="564"/>
      <c r="P20" s="523">
        <v>752</v>
      </c>
      <c r="Q20" s="564"/>
      <c r="R20" s="523">
        <v>918.39999999999964</v>
      </c>
      <c r="S20" s="564"/>
      <c r="T20" s="523">
        <v>816.80000000000018</v>
      </c>
      <c r="U20" s="564"/>
      <c r="V20" s="523">
        <f>$AA20-SUM($B20:T20)</f>
        <v>686.80000000000018</v>
      </c>
      <c r="W20" s="564"/>
      <c r="X20" s="523"/>
      <c r="Y20" s="1269"/>
      <c r="Z20" s="752"/>
      <c r="AA20" s="1224">
        <v>8688.6</v>
      </c>
      <c r="AB20" s="297"/>
      <c r="AC20" s="1857"/>
      <c r="AD20" s="1224">
        <v>8465.4</v>
      </c>
      <c r="AE20" s="921"/>
      <c r="AF20" s="922"/>
      <c r="AG20" s="963">
        <f>ROUND(SUM(AA20-AD20),1)</f>
        <v>223.2</v>
      </c>
      <c r="AH20" s="752"/>
      <c r="AI20" s="276">
        <f>ROUND(IF(AD20=0,0,AG20/ABS(AD20)),3)</f>
        <v>2.5999999999999999E-2</v>
      </c>
      <c r="AJ20" s="1634"/>
      <c r="AK20" s="1610"/>
    </row>
    <row r="21" spans="1:37" ht="14.25" customHeight="1">
      <c r="A21" s="88" t="s">
        <v>372</v>
      </c>
      <c r="B21" s="72">
        <f>ROUND(SUM(B20:B20),1)</f>
        <v>702</v>
      </c>
      <c r="C21" s="13"/>
      <c r="D21" s="72">
        <f>ROUND(SUM(D20:D20),1)</f>
        <v>721.8</v>
      </c>
      <c r="E21" s="13"/>
      <c r="F21" s="72">
        <f>ROUND(SUM(F20:F20),1)</f>
        <v>923</v>
      </c>
      <c r="G21" s="13"/>
      <c r="H21" s="72">
        <f>ROUND(SUM(H20:H20),1)</f>
        <v>745.1</v>
      </c>
      <c r="I21" s="752"/>
      <c r="J21" s="72">
        <f>ROUND(SUM(J20:J20),1)</f>
        <v>750.4</v>
      </c>
      <c r="K21" s="752"/>
      <c r="L21" s="72">
        <f>ROUND(SUM(L20:L20),1)</f>
        <v>923.7</v>
      </c>
      <c r="M21" s="752"/>
      <c r="N21" s="72">
        <f>ROUND(SUM(N20:N20),1)</f>
        <v>748.6</v>
      </c>
      <c r="O21" s="752"/>
      <c r="P21" s="72">
        <f>ROUND(SUM(P20:P20),1)</f>
        <v>752</v>
      </c>
      <c r="Q21" s="13"/>
      <c r="R21" s="72">
        <f>ROUND(SUM(R20:R20),1)</f>
        <v>918.4</v>
      </c>
      <c r="S21" s="752"/>
      <c r="T21" s="72">
        <f>ROUND(SUM(T20:T20),1)</f>
        <v>816.8</v>
      </c>
      <c r="U21" s="752"/>
      <c r="V21" s="72">
        <f>ROUND(SUM(V20:V20),1)</f>
        <v>686.8</v>
      </c>
      <c r="W21" s="752"/>
      <c r="X21" s="72">
        <f>ROUND(SUM(X20:X20),1)</f>
        <v>0</v>
      </c>
      <c r="Y21" s="1269"/>
      <c r="Z21" s="752"/>
      <c r="AA21" s="72">
        <f>ROUND(SUM(AA20:AA20),1)</f>
        <v>8688.6</v>
      </c>
      <c r="AB21" s="1270"/>
      <c r="AC21" s="920"/>
      <c r="AD21" s="72">
        <f>ROUND(SUM(AD20:AD20),1)</f>
        <v>8465.4</v>
      </c>
      <c r="AE21" s="921"/>
      <c r="AF21" s="922"/>
      <c r="AG21" s="1127">
        <f>ROUND(SUM(AA21-AD21),1)</f>
        <v>223.2</v>
      </c>
      <c r="AH21" s="88"/>
      <c r="AI21" s="548">
        <f>ROUND(IF(AD21=0,0,AG21/ABS(AD21)),3)</f>
        <v>2.5999999999999999E-2</v>
      </c>
      <c r="AJ21" s="1634"/>
      <c r="AK21" s="1610"/>
    </row>
    <row r="22" spans="1:37" ht="14.25" customHeight="1">
      <c r="A22" s="423" t="s">
        <v>373</v>
      </c>
      <c r="B22" s="13"/>
      <c r="C22" s="13"/>
      <c r="D22" s="13"/>
      <c r="E22" s="13"/>
      <c r="F22" s="13"/>
      <c r="G22" s="13"/>
      <c r="H22" s="13"/>
      <c r="I22" s="752"/>
      <c r="J22" s="13"/>
      <c r="K22" s="752"/>
      <c r="L22" s="13"/>
      <c r="M22" s="752"/>
      <c r="N22" s="13"/>
      <c r="O22" s="752"/>
      <c r="P22" s="13"/>
      <c r="Q22" s="752"/>
      <c r="R22" s="13"/>
      <c r="S22" s="752"/>
      <c r="T22" s="13"/>
      <c r="U22" s="752"/>
      <c r="V22" s="13"/>
      <c r="W22" s="752"/>
      <c r="X22" s="13"/>
      <c r="Y22" s="1269"/>
      <c r="Z22" s="752"/>
      <c r="AA22" s="13"/>
      <c r="AB22" s="1270"/>
      <c r="AC22" s="920"/>
      <c r="AD22" s="13"/>
      <c r="AE22" s="921"/>
      <c r="AF22" s="922"/>
      <c r="AG22" s="424"/>
      <c r="AH22" s="88"/>
      <c r="AI22" s="291"/>
      <c r="AJ22" s="1634"/>
      <c r="AK22" s="1610"/>
    </row>
    <row r="23" spans="1:37" ht="14.25" customHeight="1">
      <c r="A23" s="294" t="s">
        <v>378</v>
      </c>
      <c r="B23" s="542">
        <v>22.7</v>
      </c>
      <c r="C23" s="274"/>
      <c r="D23" s="542">
        <v>72.399999999999991</v>
      </c>
      <c r="E23" s="274"/>
      <c r="F23" s="542">
        <v>1545.3</v>
      </c>
      <c r="G23" s="274"/>
      <c r="H23" s="542">
        <v>-25.5</v>
      </c>
      <c r="I23" s="752"/>
      <c r="J23" s="542">
        <v>54.299999999999955</v>
      </c>
      <c r="K23" s="752"/>
      <c r="L23" s="542">
        <v>1528.5</v>
      </c>
      <c r="M23" s="752"/>
      <c r="N23" s="542">
        <v>-459.09999999999991</v>
      </c>
      <c r="O23" s="752"/>
      <c r="P23" s="523">
        <v>54</v>
      </c>
      <c r="Q23" s="752"/>
      <c r="R23" s="523">
        <v>2693.4</v>
      </c>
      <c r="S23" s="752"/>
      <c r="T23" s="523">
        <v>187.89999999999964</v>
      </c>
      <c r="U23" s="752"/>
      <c r="V23" s="523">
        <f>$AA23-SUM($B23:T23)</f>
        <v>86.199999999999818</v>
      </c>
      <c r="W23" s="752"/>
      <c r="X23" s="523"/>
      <c r="Y23" s="1269"/>
      <c r="Z23" s="752"/>
      <c r="AA23" s="542">
        <v>5760.0999999999995</v>
      </c>
      <c r="AB23" s="274"/>
      <c r="AC23" s="535" t="s">
        <v>103</v>
      </c>
      <c r="AD23" s="542">
        <v>4805.1000000000004</v>
      </c>
      <c r="AE23" s="921"/>
      <c r="AF23" s="922"/>
      <c r="AG23" s="963">
        <f>ROUND(SUM(AA23-AD23),1)</f>
        <v>955</v>
      </c>
      <c r="AH23" s="752"/>
      <c r="AI23" s="276">
        <f>ROUND(IF(AD23=0,1,AG23/ABS(AD23)),3)</f>
        <v>0.19900000000000001</v>
      </c>
      <c r="AJ23" s="1634"/>
      <c r="AK23" s="1610"/>
    </row>
    <row r="24" spans="1:37" ht="14.25" customHeight="1">
      <c r="A24" s="88" t="s">
        <v>380</v>
      </c>
      <c r="B24" s="72">
        <f>ROUND(SUM(B23),1)</f>
        <v>22.7</v>
      </c>
      <c r="C24" s="13"/>
      <c r="D24" s="72">
        <f>ROUND(SUM(D23),1)</f>
        <v>72.400000000000006</v>
      </c>
      <c r="E24" s="13"/>
      <c r="F24" s="72">
        <f>ROUND(SUM(F23),1)</f>
        <v>1545.3</v>
      </c>
      <c r="G24" s="13"/>
      <c r="H24" s="72">
        <f>ROUND(SUM(H23),1)</f>
        <v>-25.5</v>
      </c>
      <c r="I24" s="752"/>
      <c r="J24" s="72">
        <f>ROUND(SUM(J23),1)</f>
        <v>54.3</v>
      </c>
      <c r="K24" s="752"/>
      <c r="L24" s="72">
        <f>ROUND(SUM(L23),1)</f>
        <v>1528.5</v>
      </c>
      <c r="M24" s="752"/>
      <c r="N24" s="72">
        <f>ROUND(SUM(N23),1)</f>
        <v>-459.1</v>
      </c>
      <c r="O24" s="752"/>
      <c r="P24" s="72">
        <f>ROUND(SUM(P23),1)</f>
        <v>54</v>
      </c>
      <c r="Q24" s="13"/>
      <c r="R24" s="72">
        <f>ROUND(SUM(R23),1)</f>
        <v>2693.4</v>
      </c>
      <c r="S24" s="752"/>
      <c r="T24" s="72">
        <f>ROUND(SUM(T23),1)</f>
        <v>187.9</v>
      </c>
      <c r="U24" s="752"/>
      <c r="V24" s="72">
        <f>ROUND(SUM(V23),1)</f>
        <v>86.2</v>
      </c>
      <c r="W24" s="752"/>
      <c r="X24" s="72">
        <f>ROUND(SUM(X23),1)</f>
        <v>0</v>
      </c>
      <c r="Y24" s="1269"/>
      <c r="Z24" s="752"/>
      <c r="AA24" s="72">
        <f>ROUND(SUM(AA23),1)</f>
        <v>5760.1</v>
      </c>
      <c r="AB24" s="1270"/>
      <c r="AC24" s="920"/>
      <c r="AD24" s="72">
        <f>ROUND(SUM(AD23),1)</f>
        <v>4805.1000000000004</v>
      </c>
      <c r="AE24" s="921"/>
      <c r="AF24" s="922"/>
      <c r="AG24" s="1127">
        <f>ROUND(SUM(AA24-AD24),1)</f>
        <v>955</v>
      </c>
      <c r="AH24" s="88"/>
      <c r="AI24" s="548">
        <f>ROUND(IF(AD24=0,1,AG24/ABS(AD24)),3)</f>
        <v>0.19900000000000001</v>
      </c>
      <c r="AJ24" s="1634"/>
      <c r="AK24" s="1610"/>
    </row>
    <row r="25" spans="1:37" ht="14.25" customHeight="1">
      <c r="A25" s="423" t="s">
        <v>381</v>
      </c>
      <c r="B25" s="13"/>
      <c r="C25" s="13"/>
      <c r="D25" s="13"/>
      <c r="E25" s="13"/>
      <c r="F25" s="13"/>
      <c r="G25" s="13"/>
      <c r="H25" s="13"/>
      <c r="I25" s="752"/>
      <c r="J25" s="13"/>
      <c r="K25" s="752"/>
      <c r="L25" s="13"/>
      <c r="M25" s="752"/>
      <c r="N25" s="13"/>
      <c r="O25" s="752"/>
      <c r="P25" s="13"/>
      <c r="Q25" s="752"/>
      <c r="R25" s="13"/>
      <c r="S25" s="752"/>
      <c r="T25" s="13"/>
      <c r="U25" s="752"/>
      <c r="V25" s="13"/>
      <c r="W25" s="752"/>
      <c r="X25" s="13"/>
      <c r="Y25" s="1269"/>
      <c r="Z25" s="752"/>
      <c r="AA25" s="13"/>
      <c r="AB25" s="1270"/>
      <c r="AC25" s="920"/>
      <c r="AD25" s="13"/>
      <c r="AE25" s="921"/>
      <c r="AF25" s="922"/>
      <c r="AG25" s="920"/>
      <c r="AH25" s="752"/>
      <c r="AI25" s="752"/>
      <c r="AJ25" s="1634"/>
      <c r="AK25" s="1610"/>
    </row>
    <row r="26" spans="1:37" ht="14.25" customHeight="1">
      <c r="A26" s="294" t="s">
        <v>385</v>
      </c>
      <c r="B26" s="542">
        <v>83</v>
      </c>
      <c r="C26" s="542"/>
      <c r="D26" s="542">
        <v>95.6</v>
      </c>
      <c r="E26" s="542"/>
      <c r="F26" s="542">
        <v>69.300000000000011</v>
      </c>
      <c r="G26" s="13"/>
      <c r="H26" s="542">
        <v>90.9</v>
      </c>
      <c r="I26" s="564"/>
      <c r="J26" s="542">
        <v>97.299999999999983</v>
      </c>
      <c r="K26" s="564"/>
      <c r="L26" s="542">
        <v>78.200000000000045</v>
      </c>
      <c r="M26" s="564"/>
      <c r="N26" s="542">
        <v>82.099999999999909</v>
      </c>
      <c r="O26" s="564"/>
      <c r="P26" s="523">
        <v>81.300000000000068</v>
      </c>
      <c r="Q26" s="564"/>
      <c r="R26" s="523">
        <v>75.099999999999909</v>
      </c>
      <c r="S26" s="564"/>
      <c r="T26" s="523">
        <v>97.200000000000045</v>
      </c>
      <c r="U26" s="564"/>
      <c r="V26" s="523">
        <f>$AA26-SUM($B26:T26)</f>
        <v>80</v>
      </c>
      <c r="W26" s="564"/>
      <c r="X26" s="523"/>
      <c r="Y26" s="1269"/>
      <c r="Z26" s="752"/>
      <c r="AA26" s="542">
        <v>930</v>
      </c>
      <c r="AB26" s="274">
        <f>'Exhibit F'!AD1191</f>
        <v>0</v>
      </c>
      <c r="AC26" s="535" t="s">
        <v>103</v>
      </c>
      <c r="AD26" s="542">
        <v>858.9</v>
      </c>
      <c r="AE26" s="921"/>
      <c r="AF26" s="922"/>
      <c r="AG26" s="963">
        <f>ROUND(SUM(AA26-AD26),1)</f>
        <v>71.099999999999994</v>
      </c>
      <c r="AH26" s="752"/>
      <c r="AI26" s="276">
        <f>ROUND(IF(AD26=0,0,AG26/ABS(AD26)),3)</f>
        <v>8.3000000000000004E-2</v>
      </c>
      <c r="AJ26" s="1634"/>
      <c r="AK26" s="1610"/>
    </row>
    <row r="27" spans="1:37" ht="14.25" customHeight="1">
      <c r="A27" s="431" t="s">
        <v>387</v>
      </c>
      <c r="B27" s="542">
        <v>0.2</v>
      </c>
      <c r="C27" s="274"/>
      <c r="D27" s="542">
        <v>0.2</v>
      </c>
      <c r="E27" s="274"/>
      <c r="F27" s="542">
        <v>9.9999999999999978E-2</v>
      </c>
      <c r="G27" s="274"/>
      <c r="H27" s="542">
        <v>0.39999999999999997</v>
      </c>
      <c r="I27" s="752"/>
      <c r="J27" s="542">
        <v>0.10000000000000014</v>
      </c>
      <c r="K27" s="752"/>
      <c r="L27" s="542">
        <v>0.19999999999999996</v>
      </c>
      <c r="M27" s="752"/>
      <c r="N27" s="542">
        <v>0.30000000000000004</v>
      </c>
      <c r="O27" s="752"/>
      <c r="P27" s="523">
        <v>0.30000000000000004</v>
      </c>
      <c r="Q27" s="752"/>
      <c r="R27" s="523">
        <v>5.1000000000000005</v>
      </c>
      <c r="S27" s="752"/>
      <c r="T27" s="523">
        <v>0.40000000000000036</v>
      </c>
      <c r="U27" s="752"/>
      <c r="V27" s="523">
        <f>$AA27-SUM($B27:T27)</f>
        <v>9.9999999999999645E-2</v>
      </c>
      <c r="W27" s="752"/>
      <c r="X27" s="523"/>
      <c r="Y27" s="1269"/>
      <c r="Z27" s="752"/>
      <c r="AA27" s="542">
        <v>7.4</v>
      </c>
      <c r="AB27" s="274"/>
      <c r="AC27" s="535" t="s">
        <v>103</v>
      </c>
      <c r="AD27" s="542">
        <v>6.5</v>
      </c>
      <c r="AE27" s="921"/>
      <c r="AF27" s="922"/>
      <c r="AG27" s="963">
        <f>ROUND(SUM(AA27-AD27),1)</f>
        <v>0.9</v>
      </c>
      <c r="AH27" s="752"/>
      <c r="AI27" s="276">
        <f>ROUND(IF(AD27=0,1,AG27/ABS(AD27)),3)</f>
        <v>0.13800000000000001</v>
      </c>
      <c r="AJ27" s="1634"/>
      <c r="AK27" s="1610"/>
    </row>
    <row r="28" spans="1:37" ht="14.25" customHeight="1">
      <c r="A28" s="88" t="s">
        <v>388</v>
      </c>
      <c r="B28" s="1128">
        <f>ROUND(SUM(B26:B27),1)</f>
        <v>83.2</v>
      </c>
      <c r="C28" s="13"/>
      <c r="D28" s="72">
        <f>ROUND(SUM(D26:D27),1)</f>
        <v>95.8</v>
      </c>
      <c r="E28" s="13"/>
      <c r="F28" s="72">
        <f>ROUND(SUM(F26:F27),1)</f>
        <v>69.400000000000006</v>
      </c>
      <c r="G28" s="13"/>
      <c r="H28" s="72">
        <f>ROUND(SUM(H26:H27),1)</f>
        <v>91.3</v>
      </c>
      <c r="I28" s="752"/>
      <c r="J28" s="72">
        <f>ROUND(SUM(J26:J27),1)</f>
        <v>97.4</v>
      </c>
      <c r="K28" s="752"/>
      <c r="L28" s="72">
        <f>ROUND(SUM(L26:L27),1)</f>
        <v>78.400000000000006</v>
      </c>
      <c r="M28" s="752"/>
      <c r="N28" s="72">
        <f>ROUND(SUM(N26:N27),1)</f>
        <v>82.4</v>
      </c>
      <c r="O28" s="752"/>
      <c r="P28" s="72">
        <f>ROUND(SUM(P26:P27),1)</f>
        <v>81.599999999999994</v>
      </c>
      <c r="Q28" s="13"/>
      <c r="R28" s="72">
        <f>ROUND(SUM(R26:R27),1)</f>
        <v>80.2</v>
      </c>
      <c r="S28" s="752"/>
      <c r="T28" s="72">
        <f>ROUND(SUM(T26:T27),1)</f>
        <v>97.6</v>
      </c>
      <c r="U28" s="752"/>
      <c r="V28" s="72">
        <f>ROUND(SUM(V26:V27),1)</f>
        <v>80.099999999999994</v>
      </c>
      <c r="W28" s="752"/>
      <c r="X28" s="72">
        <f>ROUND(SUM(X26:X27),1)</f>
        <v>0</v>
      </c>
      <c r="Y28" s="1269"/>
      <c r="Z28" s="752"/>
      <c r="AA28" s="72">
        <f>ROUND(SUM(AA26:AA27),1)</f>
        <v>937.4</v>
      </c>
      <c r="AB28" s="1270"/>
      <c r="AC28" s="920"/>
      <c r="AD28" s="72">
        <f>ROUND(SUM(AD26:AD27),1)</f>
        <v>865.4</v>
      </c>
      <c r="AE28" s="921"/>
      <c r="AF28" s="922"/>
      <c r="AG28" s="1127">
        <f>ROUND(SUM(AA28-AD28),1)</f>
        <v>72</v>
      </c>
      <c r="AH28" s="88"/>
      <c r="AI28" s="548">
        <f>ROUND(IF(AD28=0,0,AG28/ABS(AD28)),3)</f>
        <v>8.3000000000000004E-2</v>
      </c>
      <c r="AJ28" s="1634"/>
      <c r="AK28" s="1610"/>
    </row>
    <row r="29" spans="1:37" ht="14.25" customHeight="1">
      <c r="A29" s="88"/>
      <c r="B29" s="1128"/>
      <c r="C29" s="13"/>
      <c r="D29" s="13"/>
      <c r="E29" s="13"/>
      <c r="F29" s="13"/>
      <c r="G29" s="13"/>
      <c r="H29" s="13"/>
      <c r="I29" s="752"/>
      <c r="J29" s="13"/>
      <c r="K29" s="752"/>
      <c r="L29" s="13"/>
      <c r="M29" s="752"/>
      <c r="N29" s="13"/>
      <c r="O29" s="752"/>
      <c r="P29" s="13"/>
      <c r="Q29" s="752"/>
      <c r="R29" s="13"/>
      <c r="S29" s="752"/>
      <c r="T29" s="13"/>
      <c r="U29" s="752"/>
      <c r="V29" s="13"/>
      <c r="W29" s="752"/>
      <c r="X29" s="13"/>
      <c r="Y29" s="1269"/>
      <c r="Z29" s="752"/>
      <c r="AA29" s="1128"/>
      <c r="AB29" s="1270"/>
      <c r="AC29" s="920"/>
      <c r="AD29" s="1128"/>
      <c r="AE29" s="921"/>
      <c r="AF29" s="922"/>
      <c r="AG29" s="920"/>
      <c r="AH29" s="752"/>
      <c r="AI29" s="752"/>
      <c r="AJ29" s="1634"/>
      <c r="AK29" s="1610"/>
    </row>
    <row r="30" spans="1:37" ht="14.25" customHeight="1">
      <c r="A30" s="88" t="s">
        <v>389</v>
      </c>
      <c r="B30" s="722">
        <f>ROUND(SUM(B17+B21+B24+B28),1)</f>
        <v>4457.6000000000004</v>
      </c>
      <c r="C30" s="274"/>
      <c r="D30" s="722">
        <f>ROUND(SUM(D17+D21+D24+D28),1)</f>
        <v>2816.6</v>
      </c>
      <c r="E30" s="274"/>
      <c r="F30" s="722">
        <f>ROUND(SUM(F17+F21+F24+F28),1)</f>
        <v>5089.8</v>
      </c>
      <c r="G30" s="274"/>
      <c r="H30" s="722">
        <f>ROUND(SUM(H17+H21+H24+H28),1)</f>
        <v>2902.2</v>
      </c>
      <c r="I30" s="752"/>
      <c r="J30" s="1046">
        <f>ROUND(SUM(J17+J21+J24+J28),1)</f>
        <v>2658</v>
      </c>
      <c r="K30" s="752"/>
      <c r="L30" s="1046">
        <f>ROUND(SUM(L17+L21+L24+L28),1)</f>
        <v>5018.3999999999996</v>
      </c>
      <c r="M30" s="752"/>
      <c r="N30" s="1046">
        <f>ROUND(SUM(N17+N21+N24+N28),1)</f>
        <v>1742.8</v>
      </c>
      <c r="O30" s="752"/>
      <c r="P30" s="1046">
        <f>ROUND(SUM(P17+P21+P24+P28),1)</f>
        <v>2717.9</v>
      </c>
      <c r="Q30" s="684"/>
      <c r="R30" s="1046">
        <f>ROUND(SUM(R17+R21+R24+R28),1)</f>
        <v>6389.5</v>
      </c>
      <c r="S30" s="752"/>
      <c r="T30" s="1046">
        <f>ROUND(SUM(T17+T21+T24+T28),1)</f>
        <v>5661.5</v>
      </c>
      <c r="U30" s="752"/>
      <c r="V30" s="1046">
        <f>ROUND(SUM(V17+V21+V24+V28),1)</f>
        <v>3967.5</v>
      </c>
      <c r="W30" s="752"/>
      <c r="X30" s="1046">
        <f>ROUND(SUM(X17+X21+X24+X28),1)</f>
        <v>0</v>
      </c>
      <c r="Y30" s="1269"/>
      <c r="Z30" s="752"/>
      <c r="AA30" s="1046">
        <f>ROUND(SUM(AA17+AA21+AA24+AA28),1)</f>
        <v>43421.8</v>
      </c>
      <c r="AB30" s="1270"/>
      <c r="AC30" s="920"/>
      <c r="AD30" s="1046">
        <f>ROUND(SUM(AD17+AD21+AD24+AD28),1)</f>
        <v>38893.300000000003</v>
      </c>
      <c r="AE30" s="921"/>
      <c r="AF30" s="922"/>
      <c r="AG30" s="1046">
        <f>ROUND(SUM(AG17+AG21+AG24+AG28),1)</f>
        <v>4528.5</v>
      </c>
      <c r="AH30" s="88"/>
      <c r="AI30" s="549">
        <f>ROUND(IF(AD30=0,0,AG30/ABS(AD30)),3)</f>
        <v>0.11600000000000001</v>
      </c>
      <c r="AJ30" s="1634"/>
      <c r="AK30" s="1610"/>
    </row>
    <row r="31" spans="1:37" ht="14.25" customHeight="1">
      <c r="A31" s="1248"/>
      <c r="B31" s="274"/>
      <c r="C31" s="274"/>
      <c r="D31" s="274"/>
      <c r="E31" s="274"/>
      <c r="F31" s="274"/>
      <c r="G31" s="274"/>
      <c r="H31" s="274"/>
      <c r="I31" s="752"/>
      <c r="J31" s="274"/>
      <c r="K31" s="752"/>
      <c r="L31" s="274"/>
      <c r="M31" s="752"/>
      <c r="N31" s="274"/>
      <c r="O31" s="752"/>
      <c r="P31" s="274"/>
      <c r="Q31" s="752"/>
      <c r="R31" s="274"/>
      <c r="S31" s="752"/>
      <c r="T31" s="274"/>
      <c r="U31" s="752"/>
      <c r="V31" s="274"/>
      <c r="W31" s="752"/>
      <c r="X31" s="274"/>
      <c r="Y31" s="1269"/>
      <c r="Z31" s="752"/>
      <c r="AA31" s="274"/>
      <c r="AB31" s="1270"/>
      <c r="AC31" s="920"/>
      <c r="AD31" s="274"/>
      <c r="AE31" s="921"/>
      <c r="AF31" s="922"/>
      <c r="AG31" s="920"/>
      <c r="AH31" s="752"/>
      <c r="AI31" s="752"/>
      <c r="AJ31" s="1634"/>
      <c r="AK31" s="1610"/>
    </row>
    <row r="32" spans="1:37" ht="14.25" customHeight="1">
      <c r="A32" s="1248" t="s">
        <v>390</v>
      </c>
      <c r="B32" s="680"/>
      <c r="C32" s="565"/>
      <c r="D32" s="565"/>
      <c r="E32" s="565"/>
      <c r="F32" s="565"/>
      <c r="G32" s="565"/>
      <c r="H32" s="565"/>
      <c r="I32" s="963"/>
      <c r="J32" s="963"/>
      <c r="K32" s="963"/>
      <c r="L32" s="963"/>
      <c r="M32" s="963"/>
      <c r="N32" s="963"/>
      <c r="O32" s="963"/>
      <c r="P32" s="963"/>
      <c r="Q32" s="963"/>
      <c r="R32" s="963"/>
      <c r="S32" s="963"/>
      <c r="T32" s="963"/>
      <c r="U32" s="963"/>
      <c r="V32" s="963"/>
      <c r="W32" s="963"/>
      <c r="X32" s="963"/>
      <c r="Y32" s="1271"/>
      <c r="Z32" s="963"/>
      <c r="AA32" s="680"/>
      <c r="AB32" s="1271"/>
      <c r="AC32" s="963"/>
      <c r="AD32" s="680"/>
      <c r="AE32" s="1086"/>
      <c r="AF32" s="962"/>
      <c r="AG32" s="963"/>
      <c r="AH32" s="752"/>
      <c r="AI32" s="1087"/>
      <c r="AJ32" s="1634"/>
      <c r="AK32" s="1610"/>
    </row>
    <row r="33" spans="1:37" ht="14.25" customHeight="1">
      <c r="A33" s="360" t="s">
        <v>394</v>
      </c>
      <c r="B33" s="680"/>
      <c r="C33" s="565"/>
      <c r="D33" s="565"/>
      <c r="E33" s="565"/>
      <c r="F33" s="565"/>
      <c r="G33" s="565"/>
      <c r="H33" s="565"/>
      <c r="I33" s="963"/>
      <c r="J33" s="963"/>
      <c r="K33" s="963"/>
      <c r="L33" s="963"/>
      <c r="M33" s="963"/>
      <c r="N33" s="963"/>
      <c r="O33" s="963"/>
      <c r="P33" s="963"/>
      <c r="Q33" s="963"/>
      <c r="R33" s="963"/>
      <c r="S33" s="963"/>
      <c r="T33" s="963"/>
      <c r="U33" s="963"/>
      <c r="V33" s="963"/>
      <c r="W33" s="963"/>
      <c r="X33" s="963"/>
      <c r="Y33" s="1271"/>
      <c r="Z33" s="963"/>
      <c r="AA33" s="680"/>
      <c r="AB33" s="1271"/>
      <c r="AC33" s="963"/>
      <c r="AD33" s="680"/>
      <c r="AE33" s="1086"/>
      <c r="AF33" s="962"/>
      <c r="AG33" s="963"/>
      <c r="AH33" s="752"/>
      <c r="AI33" s="1087"/>
      <c r="AJ33" s="1634"/>
      <c r="AK33" s="1610"/>
    </row>
    <row r="34" spans="1:37" ht="14.25" customHeight="1">
      <c r="A34" s="360" t="s">
        <v>396</v>
      </c>
      <c r="B34" s="542">
        <v>0</v>
      </c>
      <c r="C34" s="565"/>
      <c r="D34" s="542">
        <v>0</v>
      </c>
      <c r="E34" s="565"/>
      <c r="F34" s="542">
        <v>0</v>
      </c>
      <c r="G34" s="565"/>
      <c r="H34" s="542">
        <v>0</v>
      </c>
      <c r="I34" s="564"/>
      <c r="J34" s="542">
        <v>0</v>
      </c>
      <c r="K34" s="564"/>
      <c r="L34" s="542">
        <v>0</v>
      </c>
      <c r="M34" s="564"/>
      <c r="N34" s="542">
        <v>0</v>
      </c>
      <c r="O34" s="564"/>
      <c r="P34" s="523">
        <v>0</v>
      </c>
      <c r="Q34" s="564"/>
      <c r="R34" s="523">
        <v>0</v>
      </c>
      <c r="S34" s="564"/>
      <c r="T34" s="523">
        <v>0</v>
      </c>
      <c r="U34" s="564"/>
      <c r="V34" s="523">
        <f>$AA34-SUM($B34:T34)</f>
        <v>0</v>
      </c>
      <c r="W34" s="564"/>
      <c r="X34" s="523"/>
      <c r="Y34" s="1269"/>
      <c r="Z34" s="752"/>
      <c r="AA34" s="542">
        <v>0</v>
      </c>
      <c r="AB34" s="274"/>
      <c r="AC34" s="535" t="s">
        <v>103</v>
      </c>
      <c r="AD34" s="542">
        <v>0</v>
      </c>
      <c r="AE34" s="1086"/>
      <c r="AF34" s="962"/>
      <c r="AG34" s="963">
        <f>ROUND(SUM(AA34-AD34),1)</f>
        <v>0</v>
      </c>
      <c r="AH34" s="752"/>
      <c r="AI34" s="276">
        <f>ROUND(IF(AD34=0,0,AG34/ABS(AD34)),3)</f>
        <v>0</v>
      </c>
      <c r="AJ34" s="1634"/>
      <c r="AK34" s="1610"/>
    </row>
    <row r="35" spans="1:37" ht="14.25" customHeight="1">
      <c r="A35" s="360" t="s">
        <v>399</v>
      </c>
      <c r="B35" s="542" t="s">
        <v>103</v>
      </c>
      <c r="C35" s="565"/>
      <c r="D35" s="523"/>
      <c r="E35" s="565"/>
      <c r="F35" s="523"/>
      <c r="G35" s="565"/>
      <c r="H35" s="523"/>
      <c r="I35" s="564"/>
      <c r="J35" s="523"/>
      <c r="K35" s="564"/>
      <c r="L35" s="542"/>
      <c r="M35" s="564"/>
      <c r="N35" s="542"/>
      <c r="O35" s="564"/>
      <c r="P35" s="523"/>
      <c r="Q35" s="564"/>
      <c r="R35" s="523"/>
      <c r="S35" s="564"/>
      <c r="T35" s="523"/>
      <c r="U35" s="564"/>
      <c r="V35" s="523"/>
      <c r="W35" s="564"/>
      <c r="X35" s="523"/>
      <c r="Y35" s="1269"/>
      <c r="Z35" s="752"/>
      <c r="AA35" s="523" t="s">
        <v>103</v>
      </c>
      <c r="AB35" s="1270"/>
      <c r="AC35" s="920"/>
      <c r="AD35" s="523" t="s">
        <v>103</v>
      </c>
      <c r="AE35" s="1086"/>
      <c r="AF35" s="962"/>
      <c r="AG35" s="963"/>
      <c r="AH35" s="752"/>
      <c r="AI35" s="1087"/>
      <c r="AJ35" s="1634"/>
      <c r="AK35" s="1610"/>
    </row>
    <row r="36" spans="1:37" ht="14.25" customHeight="1">
      <c r="A36" s="360" t="s">
        <v>400</v>
      </c>
      <c r="B36" s="542">
        <v>0</v>
      </c>
      <c r="C36" s="565"/>
      <c r="D36" s="542">
        <v>0</v>
      </c>
      <c r="E36" s="565"/>
      <c r="F36" s="542">
        <v>0</v>
      </c>
      <c r="G36" s="565"/>
      <c r="H36" s="542">
        <v>0</v>
      </c>
      <c r="I36" s="564"/>
      <c r="J36" s="542">
        <v>0</v>
      </c>
      <c r="K36" s="564"/>
      <c r="L36" s="542">
        <v>0</v>
      </c>
      <c r="M36" s="564"/>
      <c r="N36" s="542">
        <v>0</v>
      </c>
      <c r="O36" s="564"/>
      <c r="P36" s="523">
        <v>0</v>
      </c>
      <c r="Q36" s="564"/>
      <c r="R36" s="523">
        <v>0</v>
      </c>
      <c r="S36" s="564"/>
      <c r="T36" s="523">
        <v>0</v>
      </c>
      <c r="U36" s="564"/>
      <c r="V36" s="523">
        <f>$AA36-SUM($B36:T36)</f>
        <v>0</v>
      </c>
      <c r="W36" s="564"/>
      <c r="X36" s="523"/>
      <c r="Y36" s="1269"/>
      <c r="Z36" s="752"/>
      <c r="AA36" s="542">
        <v>0</v>
      </c>
      <c r="AB36" s="274"/>
      <c r="AC36" s="535" t="s">
        <v>103</v>
      </c>
      <c r="AD36" s="542">
        <v>0</v>
      </c>
      <c r="AE36" s="1086"/>
      <c r="AF36" s="962"/>
      <c r="AG36" s="963">
        <f t="shared" ref="AG36:AG46" si="0">ROUND(SUM(AA36-AD36),1)</f>
        <v>0</v>
      </c>
      <c r="AH36" s="752"/>
      <c r="AI36" s="276">
        <f t="shared" ref="AI36:AI46" si="1">ROUND(IF(AD36=0,0,AG36/ABS(AD36)),3)</f>
        <v>0</v>
      </c>
      <c r="AJ36" s="1634"/>
      <c r="AK36" s="1610"/>
    </row>
    <row r="37" spans="1:37" ht="14.25" customHeight="1">
      <c r="A37" s="360" t="s">
        <v>402</v>
      </c>
      <c r="B37" s="542">
        <v>0</v>
      </c>
      <c r="C37" s="565"/>
      <c r="D37" s="542">
        <v>0</v>
      </c>
      <c r="E37" s="565"/>
      <c r="F37" s="542">
        <v>0</v>
      </c>
      <c r="G37" s="565"/>
      <c r="H37" s="542">
        <v>0</v>
      </c>
      <c r="I37" s="564"/>
      <c r="J37" s="542">
        <v>0</v>
      </c>
      <c r="K37" s="564"/>
      <c r="L37" s="542">
        <v>0</v>
      </c>
      <c r="M37" s="564"/>
      <c r="N37" s="542">
        <v>0</v>
      </c>
      <c r="O37" s="564"/>
      <c r="P37" s="523">
        <v>0</v>
      </c>
      <c r="Q37" s="564"/>
      <c r="R37" s="523">
        <v>0</v>
      </c>
      <c r="S37" s="564"/>
      <c r="T37" s="523">
        <v>0</v>
      </c>
      <c r="U37" s="564"/>
      <c r="V37" s="523">
        <f>$AA37-SUM($B37:T37)</f>
        <v>0</v>
      </c>
      <c r="W37" s="564"/>
      <c r="X37" s="523"/>
      <c r="Y37" s="1269"/>
      <c r="Z37" s="752"/>
      <c r="AA37" s="542">
        <v>0</v>
      </c>
      <c r="AB37" s="274"/>
      <c r="AC37" s="535" t="s">
        <v>103</v>
      </c>
      <c r="AD37" s="542">
        <v>0</v>
      </c>
      <c r="AE37" s="1086"/>
      <c r="AF37" s="962"/>
      <c r="AG37" s="963">
        <f t="shared" si="0"/>
        <v>0</v>
      </c>
      <c r="AH37" s="752"/>
      <c r="AI37" s="276">
        <f t="shared" si="1"/>
        <v>0</v>
      </c>
      <c r="AJ37" s="1634"/>
      <c r="AK37" s="1610"/>
    </row>
    <row r="38" spans="1:37" ht="14.25" customHeight="1">
      <c r="A38" s="360" t="s">
        <v>403</v>
      </c>
      <c r="B38" s="542">
        <v>0</v>
      </c>
      <c r="C38" s="565"/>
      <c r="D38" s="542">
        <v>0</v>
      </c>
      <c r="E38" s="565"/>
      <c r="F38" s="542">
        <v>0</v>
      </c>
      <c r="G38" s="565"/>
      <c r="H38" s="542">
        <v>0</v>
      </c>
      <c r="I38" s="564"/>
      <c r="J38" s="542">
        <v>0</v>
      </c>
      <c r="K38" s="564"/>
      <c r="L38" s="542">
        <v>0</v>
      </c>
      <c r="M38" s="564"/>
      <c r="N38" s="542">
        <v>0</v>
      </c>
      <c r="O38" s="564"/>
      <c r="P38" s="523">
        <v>0</v>
      </c>
      <c r="Q38" s="564"/>
      <c r="R38" s="523">
        <v>0</v>
      </c>
      <c r="S38" s="564"/>
      <c r="T38" s="523">
        <v>0</v>
      </c>
      <c r="U38" s="564"/>
      <c r="V38" s="523">
        <f>$AA38-SUM($B38:T38)</f>
        <v>0</v>
      </c>
      <c r="W38" s="564"/>
      <c r="X38" s="523"/>
      <c r="Y38" s="1269"/>
      <c r="Z38" s="752"/>
      <c r="AA38" s="542">
        <v>0</v>
      </c>
      <c r="AB38" s="274"/>
      <c r="AC38" s="535" t="s">
        <v>103</v>
      </c>
      <c r="AD38" s="542">
        <v>0</v>
      </c>
      <c r="AE38" s="1086"/>
      <c r="AF38" s="962"/>
      <c r="AG38" s="963">
        <f t="shared" si="0"/>
        <v>0</v>
      </c>
      <c r="AH38" s="752"/>
      <c r="AI38" s="276">
        <f t="shared" si="1"/>
        <v>0</v>
      </c>
      <c r="AJ38" s="1634"/>
      <c r="AK38" s="1610"/>
    </row>
    <row r="39" spans="1:37" ht="14.25" customHeight="1">
      <c r="A39" s="360" t="s">
        <v>404</v>
      </c>
      <c r="B39" s="542">
        <v>0</v>
      </c>
      <c r="C39" s="565"/>
      <c r="D39" s="542">
        <v>0</v>
      </c>
      <c r="E39" s="565"/>
      <c r="F39" s="542">
        <v>0</v>
      </c>
      <c r="G39" s="565"/>
      <c r="H39" s="542">
        <v>0</v>
      </c>
      <c r="I39" s="564"/>
      <c r="J39" s="542">
        <v>0</v>
      </c>
      <c r="K39" s="564"/>
      <c r="L39" s="542">
        <v>0</v>
      </c>
      <c r="M39" s="564"/>
      <c r="N39" s="542">
        <v>0</v>
      </c>
      <c r="O39" s="564"/>
      <c r="P39" s="523">
        <v>0</v>
      </c>
      <c r="Q39" s="564"/>
      <c r="R39" s="523">
        <v>0</v>
      </c>
      <c r="S39" s="564"/>
      <c r="T39" s="523">
        <v>0</v>
      </c>
      <c r="U39" s="564"/>
      <c r="V39" s="523">
        <f>$AA39-SUM($B39:T39)</f>
        <v>0</v>
      </c>
      <c r="W39" s="564"/>
      <c r="X39" s="523"/>
      <c r="Y39" s="1269"/>
      <c r="Z39" s="752"/>
      <c r="AA39" s="542">
        <v>0</v>
      </c>
      <c r="AB39" s="274"/>
      <c r="AC39" s="535" t="s">
        <v>103</v>
      </c>
      <c r="AD39" s="542">
        <v>0</v>
      </c>
      <c r="AE39" s="1086"/>
      <c r="AF39" s="962"/>
      <c r="AG39" s="963">
        <f t="shared" si="0"/>
        <v>0</v>
      </c>
      <c r="AH39" s="752"/>
      <c r="AI39" s="276">
        <f t="shared" si="1"/>
        <v>0</v>
      </c>
      <c r="AJ39" s="1634"/>
      <c r="AK39" s="1610"/>
    </row>
    <row r="40" spans="1:37" ht="14.25" customHeight="1">
      <c r="A40" s="360" t="s">
        <v>405</v>
      </c>
      <c r="B40" s="542">
        <v>0</v>
      </c>
      <c r="C40" s="565"/>
      <c r="D40" s="542">
        <v>0</v>
      </c>
      <c r="E40" s="565"/>
      <c r="F40" s="542">
        <v>0</v>
      </c>
      <c r="G40" s="565"/>
      <c r="H40" s="542">
        <v>0</v>
      </c>
      <c r="I40" s="564"/>
      <c r="J40" s="542">
        <v>0</v>
      </c>
      <c r="K40" s="564"/>
      <c r="L40" s="542">
        <v>0</v>
      </c>
      <c r="M40" s="564"/>
      <c r="N40" s="542">
        <v>0</v>
      </c>
      <c r="O40" s="564"/>
      <c r="P40" s="523">
        <v>0</v>
      </c>
      <c r="Q40" s="564"/>
      <c r="R40" s="523">
        <v>0</v>
      </c>
      <c r="S40" s="564"/>
      <c r="T40" s="523">
        <v>0</v>
      </c>
      <c r="U40" s="564"/>
      <c r="V40" s="523">
        <f>$AA40-SUM($B40:T40)</f>
        <v>0</v>
      </c>
      <c r="W40" s="564"/>
      <c r="X40" s="523"/>
      <c r="Y40" s="1269"/>
      <c r="Z40" s="752"/>
      <c r="AA40" s="542">
        <v>0</v>
      </c>
      <c r="AB40" s="274"/>
      <c r="AC40" s="535" t="s">
        <v>103</v>
      </c>
      <c r="AD40" s="542">
        <v>0</v>
      </c>
      <c r="AE40" s="1086"/>
      <c r="AF40" s="962"/>
      <c r="AG40" s="963">
        <f>ROUND(SUM(AA40-AD40),1)</f>
        <v>0</v>
      </c>
      <c r="AH40" s="752"/>
      <c r="AI40" s="276">
        <f t="shared" si="1"/>
        <v>0</v>
      </c>
      <c r="AJ40" s="1634"/>
      <c r="AK40" s="1610"/>
    </row>
    <row r="41" spans="1:37" ht="14.25" customHeight="1">
      <c r="A41" s="360" t="s">
        <v>406</v>
      </c>
      <c r="B41" s="542">
        <v>0</v>
      </c>
      <c r="C41" s="565"/>
      <c r="D41" s="542">
        <v>0</v>
      </c>
      <c r="E41" s="565"/>
      <c r="F41" s="542">
        <v>0</v>
      </c>
      <c r="G41" s="565"/>
      <c r="H41" s="542">
        <v>0</v>
      </c>
      <c r="I41" s="564"/>
      <c r="J41" s="542">
        <v>0</v>
      </c>
      <c r="K41" s="564"/>
      <c r="L41" s="542">
        <v>0</v>
      </c>
      <c r="M41" s="564"/>
      <c r="N41" s="542">
        <v>0</v>
      </c>
      <c r="O41" s="564"/>
      <c r="P41" s="523">
        <v>0</v>
      </c>
      <c r="Q41" s="564"/>
      <c r="R41" s="523">
        <v>0</v>
      </c>
      <c r="S41" s="564"/>
      <c r="T41" s="523">
        <v>0</v>
      </c>
      <c r="U41" s="564"/>
      <c r="V41" s="523">
        <f>$AA41-SUM($B41:T41)</f>
        <v>0</v>
      </c>
      <c r="W41" s="564"/>
      <c r="X41" s="523"/>
      <c r="Y41" s="1269"/>
      <c r="Z41" s="752"/>
      <c r="AA41" s="542">
        <v>0</v>
      </c>
      <c r="AB41" s="274"/>
      <c r="AC41" s="535" t="s">
        <v>103</v>
      </c>
      <c r="AD41" s="542">
        <v>0</v>
      </c>
      <c r="AE41" s="1086"/>
      <c r="AF41" s="962"/>
      <c r="AG41" s="963">
        <f t="shared" si="0"/>
        <v>0</v>
      </c>
      <c r="AH41" s="752"/>
      <c r="AI41" s="276">
        <f t="shared" si="1"/>
        <v>0</v>
      </c>
      <c r="AJ41" s="1634"/>
      <c r="AK41" s="1610"/>
    </row>
    <row r="42" spans="1:37" ht="14.25" customHeight="1">
      <c r="A42" s="360" t="s">
        <v>413</v>
      </c>
      <c r="B42" s="542">
        <v>0.3</v>
      </c>
      <c r="C42" s="565"/>
      <c r="D42" s="542">
        <v>0</v>
      </c>
      <c r="E42" s="565"/>
      <c r="F42" s="542">
        <v>0</v>
      </c>
      <c r="G42" s="565"/>
      <c r="H42" s="542">
        <v>0</v>
      </c>
      <c r="I42" s="564"/>
      <c r="J42" s="542">
        <v>0.10000000000000003</v>
      </c>
      <c r="K42" s="564"/>
      <c r="L42" s="542">
        <v>0</v>
      </c>
      <c r="M42" s="564"/>
      <c r="N42" s="542">
        <v>0.29999999999999993</v>
      </c>
      <c r="O42" s="564"/>
      <c r="P42" s="523">
        <v>0</v>
      </c>
      <c r="Q42" s="564"/>
      <c r="R42" s="523">
        <v>0</v>
      </c>
      <c r="S42" s="564"/>
      <c r="T42" s="523">
        <v>0</v>
      </c>
      <c r="U42" s="564"/>
      <c r="V42" s="523">
        <f>$AA42-SUM($B42:T42)</f>
        <v>0</v>
      </c>
      <c r="W42" s="564"/>
      <c r="X42" s="523"/>
      <c r="Y42" s="1269"/>
      <c r="Z42" s="752"/>
      <c r="AA42" s="542">
        <v>0.70000000000000007</v>
      </c>
      <c r="AB42" s="1264"/>
      <c r="AC42" s="274" t="s">
        <v>103</v>
      </c>
      <c r="AD42" s="542">
        <v>0.7</v>
      </c>
      <c r="AE42" s="1086"/>
      <c r="AF42" s="962"/>
      <c r="AG42" s="963">
        <f t="shared" si="0"/>
        <v>0</v>
      </c>
      <c r="AH42" s="752"/>
      <c r="AI42" s="276">
        <f>ROUND(IF(AD42=0,1,AG42/ABS(AD42)),3)</f>
        <v>0</v>
      </c>
      <c r="AJ42" s="1634"/>
      <c r="AK42" s="1610"/>
    </row>
    <row r="43" spans="1:37" ht="14.25" customHeight="1">
      <c r="A43" s="360" t="s">
        <v>414</v>
      </c>
      <c r="B43" s="542">
        <v>0</v>
      </c>
      <c r="C43" s="565"/>
      <c r="D43" s="542">
        <v>0.4</v>
      </c>
      <c r="E43" s="565"/>
      <c r="F43" s="542">
        <v>0.19999999999999996</v>
      </c>
      <c r="G43" s="565"/>
      <c r="H43" s="542">
        <v>0</v>
      </c>
      <c r="I43" s="564"/>
      <c r="J43" s="542">
        <v>0</v>
      </c>
      <c r="K43" s="564"/>
      <c r="L43" s="542">
        <v>0</v>
      </c>
      <c r="M43" s="564"/>
      <c r="N43" s="542">
        <v>0</v>
      </c>
      <c r="O43" s="564"/>
      <c r="P43" s="523">
        <v>0</v>
      </c>
      <c r="Q43" s="564"/>
      <c r="R43" s="523">
        <v>0</v>
      </c>
      <c r="S43" s="564"/>
      <c r="T43" s="523">
        <v>0</v>
      </c>
      <c r="U43" s="564"/>
      <c r="V43" s="523">
        <f>$AA43-SUM($B43:T43)</f>
        <v>0</v>
      </c>
      <c r="W43" s="564"/>
      <c r="X43" s="523"/>
      <c r="Y43" s="1269"/>
      <c r="Z43" s="752"/>
      <c r="AA43" s="542">
        <v>0.6</v>
      </c>
      <c r="AB43" s="274"/>
      <c r="AC43" s="535" t="s">
        <v>103</v>
      </c>
      <c r="AD43" s="542">
        <v>0.5</v>
      </c>
      <c r="AE43" s="1086"/>
      <c r="AF43" s="962"/>
      <c r="AG43" s="963">
        <f>ROUND(SUM(AA43-AD43),1)</f>
        <v>0.1</v>
      </c>
      <c r="AH43" s="752"/>
      <c r="AI43" s="276">
        <f>ROUND(IF(AD43=0,1,AG43/ABS(AD43)),3)</f>
        <v>0.2</v>
      </c>
      <c r="AJ43" s="1634"/>
      <c r="AK43" s="1610"/>
    </row>
    <row r="44" spans="1:37" ht="14.25" customHeight="1">
      <c r="A44" s="360" t="s">
        <v>415</v>
      </c>
      <c r="B44" s="542" t="s">
        <v>103</v>
      </c>
      <c r="C44" s="565"/>
      <c r="D44" s="523"/>
      <c r="E44" s="565"/>
      <c r="F44" s="523"/>
      <c r="G44" s="565"/>
      <c r="H44" s="523"/>
      <c r="I44" s="564"/>
      <c r="J44" s="523"/>
      <c r="K44" s="564"/>
      <c r="L44" s="542"/>
      <c r="M44" s="564"/>
      <c r="N44" s="542"/>
      <c r="O44" s="564"/>
      <c r="P44" s="523"/>
      <c r="Q44" s="564"/>
      <c r="R44" s="523"/>
      <c r="S44" s="564"/>
      <c r="T44" s="523"/>
      <c r="U44" s="564"/>
      <c r="V44" s="523"/>
      <c r="W44" s="564"/>
      <c r="X44" s="523"/>
      <c r="Y44" s="1269"/>
      <c r="Z44" s="752"/>
      <c r="AA44" s="523" t="s">
        <v>103</v>
      </c>
      <c r="AB44" s="1270"/>
      <c r="AC44" s="920" t="s">
        <v>103</v>
      </c>
      <c r="AD44" s="523" t="s">
        <v>103</v>
      </c>
      <c r="AE44" s="1086"/>
      <c r="AF44" s="962" t="s">
        <v>103</v>
      </c>
      <c r="AG44" s="963" t="s">
        <v>103</v>
      </c>
      <c r="AH44" s="752"/>
      <c r="AI44" s="276" t="s">
        <v>103</v>
      </c>
      <c r="AJ44" s="1634"/>
      <c r="AK44" s="1610"/>
    </row>
    <row r="45" spans="1:37" ht="14.25" customHeight="1">
      <c r="A45" s="360" t="s">
        <v>502</v>
      </c>
      <c r="B45" s="542">
        <v>0</v>
      </c>
      <c r="C45" s="565"/>
      <c r="D45" s="542">
        <v>0</v>
      </c>
      <c r="E45" s="565"/>
      <c r="F45" s="542">
        <v>0</v>
      </c>
      <c r="G45" s="565"/>
      <c r="H45" s="542">
        <v>0</v>
      </c>
      <c r="I45" s="564"/>
      <c r="J45" s="542">
        <v>0</v>
      </c>
      <c r="K45" s="564"/>
      <c r="L45" s="542">
        <v>0</v>
      </c>
      <c r="M45" s="564"/>
      <c r="N45" s="542">
        <v>0</v>
      </c>
      <c r="O45" s="564"/>
      <c r="P45" s="523">
        <v>0</v>
      </c>
      <c r="Q45" s="564"/>
      <c r="R45" s="523">
        <v>0</v>
      </c>
      <c r="S45" s="564"/>
      <c r="T45" s="523">
        <v>0</v>
      </c>
      <c r="U45" s="564"/>
      <c r="V45" s="523">
        <f>$AA45-SUM($B45:T45)</f>
        <v>0</v>
      </c>
      <c r="W45" s="564"/>
      <c r="X45" s="523"/>
      <c r="Y45" s="1269"/>
      <c r="Z45" s="752"/>
      <c r="AA45" s="542">
        <v>0</v>
      </c>
      <c r="AB45" s="274"/>
      <c r="AC45" s="535"/>
      <c r="AD45" s="542">
        <v>0</v>
      </c>
      <c r="AE45" s="1086"/>
      <c r="AF45" s="962"/>
      <c r="AG45" s="963">
        <f>ROUND(SUM(AA45-AD45),1)</f>
        <v>0</v>
      </c>
      <c r="AH45" s="752"/>
      <c r="AI45" s="276">
        <f>ROUND(IF(AD45=0,0,AG45/ABS(AD45)),3)</f>
        <v>0</v>
      </c>
      <c r="AJ45" s="1634"/>
      <c r="AK45" s="1610"/>
    </row>
    <row r="46" spans="1:37" ht="14.25" customHeight="1">
      <c r="A46" s="360" t="s">
        <v>420</v>
      </c>
      <c r="B46" s="542">
        <v>0</v>
      </c>
      <c r="C46" s="565"/>
      <c r="D46" s="542">
        <v>0</v>
      </c>
      <c r="E46" s="565"/>
      <c r="F46" s="542">
        <v>0</v>
      </c>
      <c r="G46" s="565"/>
      <c r="H46" s="542">
        <v>0</v>
      </c>
      <c r="I46" s="564"/>
      <c r="J46" s="542">
        <v>0</v>
      </c>
      <c r="K46" s="564"/>
      <c r="L46" s="542">
        <v>0</v>
      </c>
      <c r="M46" s="564"/>
      <c r="N46" s="542">
        <v>0</v>
      </c>
      <c r="O46" s="564"/>
      <c r="P46" s="523">
        <v>0</v>
      </c>
      <c r="Q46" s="564"/>
      <c r="R46" s="523">
        <v>0</v>
      </c>
      <c r="S46" s="564"/>
      <c r="T46" s="523">
        <v>0</v>
      </c>
      <c r="U46" s="564"/>
      <c r="V46" s="523">
        <f>$AA46-SUM($B46:T46)</f>
        <v>0</v>
      </c>
      <c r="W46" s="564"/>
      <c r="X46" s="523"/>
      <c r="Y46" s="1269"/>
      <c r="Z46" s="752"/>
      <c r="AA46" s="542">
        <v>0</v>
      </c>
      <c r="AB46" s="274"/>
      <c r="AC46" s="535" t="s">
        <v>103</v>
      </c>
      <c r="AD46" s="542">
        <v>0</v>
      </c>
      <c r="AE46" s="1086"/>
      <c r="AF46" s="962"/>
      <c r="AG46" s="963">
        <f t="shared" si="0"/>
        <v>0</v>
      </c>
      <c r="AH46" s="752"/>
      <c r="AI46" s="276">
        <f t="shared" si="1"/>
        <v>0</v>
      </c>
      <c r="AJ46" s="1634"/>
      <c r="AK46" s="1610"/>
    </row>
    <row r="47" spans="1:37" ht="14.25" customHeight="1">
      <c r="A47" s="360" t="s">
        <v>421</v>
      </c>
      <c r="B47" s="542" t="s">
        <v>103</v>
      </c>
      <c r="C47" s="565"/>
      <c r="D47" s="523"/>
      <c r="E47" s="565"/>
      <c r="F47" s="523"/>
      <c r="G47" s="565"/>
      <c r="H47" s="523"/>
      <c r="I47" s="564"/>
      <c r="J47" s="523"/>
      <c r="K47" s="564"/>
      <c r="L47" s="542"/>
      <c r="M47" s="564"/>
      <c r="N47" s="542"/>
      <c r="O47" s="564"/>
      <c r="P47" s="523"/>
      <c r="Q47" s="564"/>
      <c r="R47" s="523"/>
      <c r="S47" s="564"/>
      <c r="T47" s="523"/>
      <c r="U47" s="564"/>
      <c r="V47" s="523"/>
      <c r="W47" s="564"/>
      <c r="X47" s="523"/>
      <c r="Y47" s="1269"/>
      <c r="Z47" s="752"/>
      <c r="AA47" s="523" t="s">
        <v>103</v>
      </c>
      <c r="AB47" s="1270"/>
      <c r="AC47" s="920"/>
      <c r="AD47" s="523" t="s">
        <v>103</v>
      </c>
      <c r="AE47" s="1086"/>
      <c r="AF47" s="962"/>
      <c r="AG47" s="963"/>
      <c r="AH47" s="752"/>
      <c r="AI47" s="1087"/>
      <c r="AJ47" s="1634"/>
      <c r="AK47" s="1610"/>
    </row>
    <row r="48" spans="1:37" ht="14.25" customHeight="1">
      <c r="A48" s="360" t="s">
        <v>550</v>
      </c>
      <c r="B48" s="542">
        <v>44.4</v>
      </c>
      <c r="C48" s="565"/>
      <c r="D48" s="542">
        <v>43.9</v>
      </c>
      <c r="E48" s="565"/>
      <c r="F48" s="542">
        <v>54.899999999999984</v>
      </c>
      <c r="G48" s="565"/>
      <c r="H48" s="542">
        <v>50.999999999999993</v>
      </c>
      <c r="I48" s="564"/>
      <c r="J48" s="542">
        <v>37.800000000000018</v>
      </c>
      <c r="K48" s="564"/>
      <c r="L48" s="542">
        <v>46.599999999999959</v>
      </c>
      <c r="M48" s="564"/>
      <c r="N48" s="542">
        <v>61.800000000000011</v>
      </c>
      <c r="O48" s="564"/>
      <c r="P48" s="523">
        <v>29</v>
      </c>
      <c r="Q48" s="564"/>
      <c r="R48" s="523">
        <v>35</v>
      </c>
      <c r="S48" s="564"/>
      <c r="T48" s="523">
        <v>76.700000000000045</v>
      </c>
      <c r="U48" s="564"/>
      <c r="V48" s="523">
        <f>$AA48-SUM($B48:T48)</f>
        <v>39</v>
      </c>
      <c r="W48" s="564"/>
      <c r="X48" s="523"/>
      <c r="Y48" s="1269"/>
      <c r="Z48" s="752"/>
      <c r="AA48" s="542">
        <v>520.1</v>
      </c>
      <c r="AB48" s="274"/>
      <c r="AC48" s="535" t="s">
        <v>103</v>
      </c>
      <c r="AD48" s="542">
        <v>471.5</v>
      </c>
      <c r="AE48" s="1086"/>
      <c r="AF48" s="962"/>
      <c r="AG48" s="963">
        <f>ROUND(SUM(AA48-AD48),1)</f>
        <v>48.6</v>
      </c>
      <c r="AH48" s="752"/>
      <c r="AI48" s="553">
        <f>ROUND(IF(AD48=0,0,AG48/ABS(AD48)),3)</f>
        <v>0.10299999999999999</v>
      </c>
      <c r="AJ48" s="1634"/>
      <c r="AK48" s="1610"/>
    </row>
    <row r="49" spans="1:37" ht="14.25" customHeight="1">
      <c r="A49" s="360" t="s">
        <v>431</v>
      </c>
      <c r="B49" s="542">
        <v>0</v>
      </c>
      <c r="C49" s="565"/>
      <c r="D49" s="542">
        <v>0</v>
      </c>
      <c r="E49" s="565"/>
      <c r="F49" s="542">
        <v>0</v>
      </c>
      <c r="G49" s="565"/>
      <c r="H49" s="542">
        <v>0</v>
      </c>
      <c r="I49" s="564"/>
      <c r="J49" s="542">
        <v>0</v>
      </c>
      <c r="K49" s="564"/>
      <c r="L49" s="542">
        <v>0</v>
      </c>
      <c r="M49" s="564"/>
      <c r="N49" s="542">
        <v>0</v>
      </c>
      <c r="O49" s="564"/>
      <c r="P49" s="523">
        <v>0</v>
      </c>
      <c r="Q49" s="564"/>
      <c r="R49" s="523">
        <v>0</v>
      </c>
      <c r="S49" s="564"/>
      <c r="T49" s="523">
        <v>0</v>
      </c>
      <c r="U49" s="564"/>
      <c r="V49" s="523">
        <f>$AA49-SUM($B49:T49)</f>
        <v>0</v>
      </c>
      <c r="W49" s="564"/>
      <c r="X49" s="523"/>
      <c r="Y49" s="1269"/>
      <c r="Z49" s="752"/>
      <c r="AA49" s="542">
        <v>0</v>
      </c>
      <c r="AB49" s="274"/>
      <c r="AC49" s="535" t="s">
        <v>103</v>
      </c>
      <c r="AD49" s="542">
        <v>0</v>
      </c>
      <c r="AE49" s="1086"/>
      <c r="AF49" s="962"/>
      <c r="AG49" s="963">
        <f>ROUND(SUM(AA49-AD49),1)</f>
        <v>0</v>
      </c>
      <c r="AH49" s="752"/>
      <c r="AI49" s="276">
        <f>ROUND(IF(AD49=0,0,AG49/ABS(AD49)),3)</f>
        <v>0</v>
      </c>
      <c r="AJ49" s="1634"/>
      <c r="AK49" s="1610"/>
    </row>
    <row r="50" spans="1:37" ht="14.25" customHeight="1">
      <c r="A50" s="360" t="s">
        <v>432</v>
      </c>
      <c r="B50" s="542">
        <v>0</v>
      </c>
      <c r="C50" s="565"/>
      <c r="D50" s="542">
        <v>0</v>
      </c>
      <c r="E50" s="565"/>
      <c r="F50" s="542">
        <v>0</v>
      </c>
      <c r="G50" s="565"/>
      <c r="H50" s="542">
        <v>0</v>
      </c>
      <c r="I50" s="564"/>
      <c r="J50" s="542">
        <v>0</v>
      </c>
      <c r="K50" s="564"/>
      <c r="L50" s="542">
        <v>0</v>
      </c>
      <c r="M50" s="564"/>
      <c r="N50" s="542">
        <v>0</v>
      </c>
      <c r="O50" s="564"/>
      <c r="P50" s="523">
        <v>0</v>
      </c>
      <c r="Q50" s="564"/>
      <c r="R50" s="523">
        <v>0</v>
      </c>
      <c r="S50" s="564"/>
      <c r="T50" s="523">
        <v>0</v>
      </c>
      <c r="U50" s="564"/>
      <c r="V50" s="523">
        <f>$AA50-SUM($B50:T50)</f>
        <v>0</v>
      </c>
      <c r="W50" s="564"/>
      <c r="X50" s="523"/>
      <c r="Y50" s="1269"/>
      <c r="Z50" s="752"/>
      <c r="AA50" s="542">
        <v>0</v>
      </c>
      <c r="AB50" s="274"/>
      <c r="AC50" s="535" t="s">
        <v>103</v>
      </c>
      <c r="AD50" s="542">
        <v>0</v>
      </c>
      <c r="AE50" s="1086"/>
      <c r="AF50" s="962"/>
      <c r="AG50" s="963">
        <f>ROUND(SUM(AA50-AD50),1)</f>
        <v>0</v>
      </c>
      <c r="AH50" s="752"/>
      <c r="AI50" s="276">
        <f>ROUND(IF(AD50=0,0,AG50/ABS(AD50)),3)</f>
        <v>0</v>
      </c>
      <c r="AJ50" s="1634"/>
      <c r="AK50" s="1610"/>
    </row>
    <row r="51" spans="1:37" s="751" customFormat="1" ht="15.5">
      <c r="A51" s="88" t="s">
        <v>434</v>
      </c>
      <c r="B51" s="72">
        <f>ROUND(SUM(B34:B50),1)</f>
        <v>44.7</v>
      </c>
      <c r="C51" s="749"/>
      <c r="D51" s="72">
        <f>ROUND(SUM(D34:D50),1)</f>
        <v>44.3</v>
      </c>
      <c r="E51" s="749"/>
      <c r="F51" s="72">
        <f>ROUND(SUM(F34:F50),1)</f>
        <v>55.1</v>
      </c>
      <c r="G51" s="749"/>
      <c r="H51" s="72">
        <f>ROUND(SUM(H34:H50),1)</f>
        <v>51</v>
      </c>
      <c r="I51" s="424"/>
      <c r="J51" s="72">
        <f>ROUND(SUM(J34:J50),1)</f>
        <v>37.9</v>
      </c>
      <c r="K51" s="424"/>
      <c r="L51" s="72">
        <f>ROUND(SUM(L34:L50),1)</f>
        <v>46.6</v>
      </c>
      <c r="M51" s="424"/>
      <c r="N51" s="72">
        <f>ROUND(SUM(N34:N50),1)</f>
        <v>62.1</v>
      </c>
      <c r="O51" s="424"/>
      <c r="P51" s="72">
        <f>ROUND(SUM(P34:P50),1)</f>
        <v>29</v>
      </c>
      <c r="Q51" s="13"/>
      <c r="R51" s="72">
        <f>ROUND(SUM(R34:R50),1)</f>
        <v>35</v>
      </c>
      <c r="S51" s="424"/>
      <c r="T51" s="72">
        <f>ROUND(SUM(T34:T50),1)</f>
        <v>76.7</v>
      </c>
      <c r="U51" s="424"/>
      <c r="V51" s="72">
        <f>ROUND(SUM(V34:V50),1)</f>
        <v>39</v>
      </c>
      <c r="W51" s="424"/>
      <c r="X51" s="72">
        <f>ROUND(SUM(X34:X50),1)</f>
        <v>0</v>
      </c>
      <c r="Y51" s="1272"/>
      <c r="Z51" s="424"/>
      <c r="AA51" s="72">
        <f>ROUND(SUM(AA34:AA50),1)</f>
        <v>521.4</v>
      </c>
      <c r="AB51" s="1272"/>
      <c r="AC51" s="424"/>
      <c r="AD51" s="72">
        <f>ROUND(SUM(AD34:AD50),1)</f>
        <v>472.7</v>
      </c>
      <c r="AE51" s="1917"/>
      <c r="AF51" s="750"/>
      <c r="AG51" s="72">
        <f>ROUND(SUM(AG34:AG50),1)</f>
        <v>48.7</v>
      </c>
      <c r="AH51" s="88"/>
      <c r="AI51" s="1129">
        <f>ROUND(IF(AD51=0,0,AG51/ABS(AD51)),3)</f>
        <v>0.10299999999999999</v>
      </c>
      <c r="AJ51" s="1634"/>
      <c r="AK51" s="1610"/>
    </row>
    <row r="52" spans="1:37" s="751" customFormat="1" ht="14.25" customHeight="1">
      <c r="A52" s="88"/>
      <c r="B52" s="13"/>
      <c r="C52" s="749"/>
      <c r="D52" s="13"/>
      <c r="E52" s="749"/>
      <c r="F52" s="13"/>
      <c r="G52" s="749"/>
      <c r="H52" s="13"/>
      <c r="I52" s="424"/>
      <c r="J52" s="13"/>
      <c r="K52" s="424"/>
      <c r="L52" s="13"/>
      <c r="M52" s="424"/>
      <c r="N52" s="13"/>
      <c r="O52" s="424"/>
      <c r="P52" s="13"/>
      <c r="Q52" s="424"/>
      <c r="R52" s="13"/>
      <c r="S52" s="424"/>
      <c r="T52" s="13"/>
      <c r="U52" s="424"/>
      <c r="V52" s="13"/>
      <c r="W52" s="424"/>
      <c r="X52" s="13"/>
      <c r="Y52" s="1272"/>
      <c r="Z52" s="424"/>
      <c r="AA52" s="13"/>
      <c r="AB52" s="1272"/>
      <c r="AC52" s="424"/>
      <c r="AD52" s="13"/>
      <c r="AE52" s="1917"/>
      <c r="AF52" s="750"/>
      <c r="AG52" s="424"/>
      <c r="AH52" s="88"/>
      <c r="AI52" s="748"/>
      <c r="AJ52" s="1634"/>
      <c r="AK52" s="1610"/>
    </row>
    <row r="53" spans="1:37" ht="15.5">
      <c r="A53" s="752" t="s">
        <v>551</v>
      </c>
      <c r="B53" s="542">
        <v>7.1</v>
      </c>
      <c r="C53" s="565"/>
      <c r="D53" s="542">
        <v>0</v>
      </c>
      <c r="E53" s="565"/>
      <c r="F53" s="542">
        <v>0</v>
      </c>
      <c r="G53" s="565"/>
      <c r="H53" s="542">
        <v>0</v>
      </c>
      <c r="I53" s="963"/>
      <c r="J53" s="542">
        <v>0</v>
      </c>
      <c r="K53" s="963"/>
      <c r="L53" s="542">
        <v>29.4</v>
      </c>
      <c r="M53" s="963"/>
      <c r="N53" s="542">
        <v>1.2000000000000028</v>
      </c>
      <c r="O53" s="963"/>
      <c r="P53" s="523">
        <v>0</v>
      </c>
      <c r="Q53" s="963"/>
      <c r="R53" s="523">
        <v>4.5</v>
      </c>
      <c r="S53" s="963"/>
      <c r="T53" s="523">
        <v>0</v>
      </c>
      <c r="U53" s="963"/>
      <c r="V53" s="523">
        <f>$AA53-SUM($B53:T53)</f>
        <v>1.3999999999999986</v>
      </c>
      <c r="W53" s="963"/>
      <c r="X53" s="523"/>
      <c r="Y53" s="1271"/>
      <c r="Z53" s="963"/>
      <c r="AA53" s="1012">
        <v>43.6</v>
      </c>
      <c r="AB53" s="274"/>
      <c r="AC53" s="535" t="s">
        <v>103</v>
      </c>
      <c r="AD53" s="1012">
        <v>36.1</v>
      </c>
      <c r="AE53" s="1086"/>
      <c r="AF53" s="962"/>
      <c r="AG53" s="1088">
        <f>ROUND(SUM(AA53-AD53),1)</f>
        <v>7.5</v>
      </c>
      <c r="AH53" s="752"/>
      <c r="AI53" s="544">
        <f>ROUND(IF(AD53=0,1,AG53/ABS(AD53)),3)</f>
        <v>0.20799999999999999</v>
      </c>
      <c r="AJ53" s="1634"/>
      <c r="AK53" s="1610"/>
    </row>
    <row r="54" spans="1:37" ht="12" customHeight="1">
      <c r="A54" s="752"/>
      <c r="B54" s="1130"/>
      <c r="C54" s="565"/>
      <c r="D54" s="1130"/>
      <c r="E54" s="565"/>
      <c r="F54" s="1130"/>
      <c r="G54" s="565"/>
      <c r="H54" s="1130"/>
      <c r="I54" s="963"/>
      <c r="J54" s="1131"/>
      <c r="K54" s="963"/>
      <c r="L54" s="1131"/>
      <c r="M54" s="963"/>
      <c r="N54" s="1131"/>
      <c r="O54" s="963"/>
      <c r="P54" s="1131"/>
      <c r="Q54" s="963"/>
      <c r="R54" s="1131"/>
      <c r="S54" s="963"/>
      <c r="T54" s="1131"/>
      <c r="U54" s="963"/>
      <c r="V54" s="1131"/>
      <c r="W54" s="963"/>
      <c r="X54" s="1131"/>
      <c r="Y54" s="1271"/>
      <c r="Z54" s="963"/>
      <c r="AA54" s="565"/>
      <c r="AB54" s="1271"/>
      <c r="AC54" s="963"/>
      <c r="AD54" s="565"/>
      <c r="AE54" s="1086"/>
      <c r="AF54" s="962"/>
      <c r="AG54" s="963"/>
      <c r="AH54" s="752"/>
      <c r="AI54" s="752"/>
      <c r="AJ54" s="1634"/>
      <c r="AK54" s="1610"/>
    </row>
    <row r="55" spans="1:37" ht="14.25" customHeight="1">
      <c r="A55" s="88" t="s">
        <v>552</v>
      </c>
      <c r="B55" s="622">
        <f>B30+B51+B53</f>
        <v>4509.4000000000005</v>
      </c>
      <c r="C55" s="749"/>
      <c r="D55" s="622">
        <f>D30+D51+D53</f>
        <v>2860.9</v>
      </c>
      <c r="E55" s="753"/>
      <c r="F55" s="622">
        <f>F30+F51+F53</f>
        <v>5144.9000000000005</v>
      </c>
      <c r="G55" s="753"/>
      <c r="H55" s="622">
        <f>H30+H51+H53</f>
        <v>2953.2</v>
      </c>
      <c r="I55" s="754"/>
      <c r="J55" s="1089">
        <f>J30+J51+J53</f>
        <v>2695.9</v>
      </c>
      <c r="K55" s="754"/>
      <c r="L55" s="1089">
        <f>L30+L51+L53</f>
        <v>5094.3999999999996</v>
      </c>
      <c r="M55" s="754"/>
      <c r="N55" s="1089">
        <f>N30+N51+N53</f>
        <v>1806.1</v>
      </c>
      <c r="O55" s="754"/>
      <c r="P55" s="1089">
        <f>P30+P51+P53</f>
        <v>2746.9</v>
      </c>
      <c r="Q55" s="424"/>
      <c r="R55" s="1089">
        <f>R30+R51+R53</f>
        <v>6429</v>
      </c>
      <c r="S55" s="754"/>
      <c r="T55" s="1089">
        <f>T30+T51+T53</f>
        <v>5738.2</v>
      </c>
      <c r="U55" s="754"/>
      <c r="V55" s="1089">
        <f>V30+V51+V53</f>
        <v>4007.9</v>
      </c>
      <c r="W55" s="754"/>
      <c r="X55" s="1089">
        <f>X30+X51+X53</f>
        <v>0</v>
      </c>
      <c r="Y55" s="1272"/>
      <c r="Z55" s="424"/>
      <c r="AA55" s="1089">
        <f>AA30+AA51+AA53</f>
        <v>43986.8</v>
      </c>
      <c r="AB55" s="1272"/>
      <c r="AC55" s="424"/>
      <c r="AD55" s="1089">
        <f>AD30+AD51+AD53</f>
        <v>39402.1</v>
      </c>
      <c r="AE55" s="1917"/>
      <c r="AF55" s="750"/>
      <c r="AG55" s="1089">
        <f>ROUND(SUM(AG30+AG51+AG53),1)</f>
        <v>4584.7</v>
      </c>
      <c r="AH55" s="88"/>
      <c r="AI55" s="549">
        <f>ROUND(IF(AD55=0,0,AG55/ABS(AD55)),3)</f>
        <v>0.11600000000000001</v>
      </c>
      <c r="AJ55" s="1610"/>
      <c r="AK55" s="1610"/>
    </row>
    <row r="56" spans="1:37" ht="19.5" customHeight="1">
      <c r="A56" s="752"/>
      <c r="B56" s="565"/>
      <c r="C56" s="565"/>
      <c r="D56" s="565"/>
      <c r="E56" s="565"/>
      <c r="F56" s="565"/>
      <c r="G56" s="565"/>
      <c r="H56" s="565"/>
      <c r="I56" s="963"/>
      <c r="J56" s="963"/>
      <c r="K56" s="963"/>
      <c r="L56" s="963"/>
      <c r="M56" s="963"/>
      <c r="N56" s="963"/>
      <c r="O56" s="963"/>
      <c r="P56" s="963"/>
      <c r="Q56" s="963"/>
      <c r="R56" s="963"/>
      <c r="S56" s="963"/>
      <c r="T56" s="963"/>
      <c r="U56" s="963"/>
      <c r="V56" s="963"/>
      <c r="W56" s="963"/>
      <c r="X56" s="963"/>
      <c r="Y56" s="1271"/>
      <c r="Z56" s="963"/>
      <c r="AA56" s="565"/>
      <c r="AB56" s="1271"/>
      <c r="AC56" s="963"/>
      <c r="AD56" s="565"/>
      <c r="AE56" s="1086"/>
      <c r="AF56" s="962"/>
      <c r="AG56" s="963"/>
      <c r="AH56" s="752"/>
      <c r="AI56" s="752"/>
      <c r="AJ56" s="1634"/>
      <c r="AK56" s="1610"/>
    </row>
    <row r="57" spans="1:37" ht="15.5">
      <c r="A57" s="755" t="s">
        <v>553</v>
      </c>
      <c r="B57" s="565"/>
      <c r="C57" s="565"/>
      <c r="D57" s="565"/>
      <c r="E57" s="565"/>
      <c r="F57" s="565"/>
      <c r="G57" s="565"/>
      <c r="H57" s="565"/>
      <c r="I57" s="963"/>
      <c r="J57" s="963"/>
      <c r="K57" s="963"/>
      <c r="L57" s="963"/>
      <c r="M57" s="963"/>
      <c r="N57" s="963"/>
      <c r="O57" s="963"/>
      <c r="P57" s="963"/>
      <c r="Q57" s="963"/>
      <c r="R57" s="963"/>
      <c r="S57" s="963"/>
      <c r="T57" s="963"/>
      <c r="U57" s="963"/>
      <c r="V57" s="963"/>
      <c r="W57" s="963"/>
      <c r="X57" s="963"/>
      <c r="Y57" s="1271"/>
      <c r="Z57" s="963"/>
      <c r="AA57" s="565"/>
      <c r="AB57" s="1271"/>
      <c r="AC57" s="963"/>
      <c r="AD57" s="565"/>
      <c r="AE57" s="1086"/>
      <c r="AF57" s="962"/>
      <c r="AG57" s="963"/>
      <c r="AH57" s="752"/>
      <c r="AI57" s="752"/>
      <c r="AJ57" s="1634"/>
      <c r="AK57" s="1610"/>
    </row>
    <row r="58" spans="1:37" ht="14.25" customHeight="1">
      <c r="A58" s="756" t="s">
        <v>461</v>
      </c>
      <c r="B58" s="565"/>
      <c r="C58" s="565"/>
      <c r="D58" s="565"/>
      <c r="E58" s="565"/>
      <c r="F58" s="565"/>
      <c r="G58" s="565"/>
      <c r="H58" s="565"/>
      <c r="I58" s="963"/>
      <c r="J58" s="963"/>
      <c r="K58" s="963"/>
      <c r="L58" s="963"/>
      <c r="M58" s="963"/>
      <c r="N58" s="963"/>
      <c r="O58" s="963"/>
      <c r="P58" s="963"/>
      <c r="Q58" s="963"/>
      <c r="R58" s="963"/>
      <c r="S58" s="963"/>
      <c r="T58" s="963"/>
      <c r="U58" s="963"/>
      <c r="V58" s="963"/>
      <c r="W58" s="963"/>
      <c r="X58" s="963"/>
      <c r="Y58" s="1271"/>
      <c r="Z58" s="963"/>
      <c r="AA58" s="565"/>
      <c r="AB58" s="1271"/>
      <c r="AC58" s="963"/>
      <c r="AD58" s="565"/>
      <c r="AE58" s="1086"/>
      <c r="AF58" s="962"/>
      <c r="AG58" s="963"/>
      <c r="AH58" s="752"/>
      <c r="AI58" s="752"/>
      <c r="AJ58" s="1634"/>
      <c r="AK58" s="1610"/>
    </row>
    <row r="59" spans="1:37" ht="14.25" customHeight="1">
      <c r="A59" s="756" t="s">
        <v>137</v>
      </c>
      <c r="B59" s="542">
        <v>0</v>
      </c>
      <c r="C59" s="565"/>
      <c r="D59" s="542">
        <v>1.2</v>
      </c>
      <c r="E59" s="1160"/>
      <c r="F59" s="542">
        <v>0.10000000000000009</v>
      </c>
      <c r="G59" s="565"/>
      <c r="H59" s="542">
        <v>23.400000000000002</v>
      </c>
      <c r="I59" s="963"/>
      <c r="J59" s="542">
        <v>2.6999999999999957</v>
      </c>
      <c r="K59" s="963"/>
      <c r="L59" s="542">
        <v>0.60000000000000142</v>
      </c>
      <c r="M59" s="963"/>
      <c r="N59" s="542">
        <v>0</v>
      </c>
      <c r="O59" s="963"/>
      <c r="P59" s="523">
        <v>1.1000000000000014</v>
      </c>
      <c r="Q59" s="963"/>
      <c r="R59" s="523">
        <v>0</v>
      </c>
      <c r="S59" s="963"/>
      <c r="T59" s="523">
        <v>0</v>
      </c>
      <c r="U59" s="963"/>
      <c r="V59" s="523">
        <f>$AA59-SUM($B59:T59)</f>
        <v>4</v>
      </c>
      <c r="W59" s="963"/>
      <c r="X59" s="523"/>
      <c r="Y59" s="1271"/>
      <c r="Z59" s="963"/>
      <c r="AA59" s="542">
        <v>33.1</v>
      </c>
      <c r="AB59" s="274"/>
      <c r="AC59" s="535" t="s">
        <v>103</v>
      </c>
      <c r="AD59" s="542">
        <v>43.3</v>
      </c>
      <c r="AE59" s="1086"/>
      <c r="AF59" s="962"/>
      <c r="AG59" s="963">
        <f>ROUND(SUM(AA59-AD59),1)</f>
        <v>-10.199999999999999</v>
      </c>
      <c r="AH59" s="752"/>
      <c r="AI59" s="553">
        <f>ROUND(IF(AD59=0,0,AG59/ABS(AD59)),3)</f>
        <v>-0.23599999999999999</v>
      </c>
      <c r="AJ59" s="1634"/>
      <c r="AK59" s="1610"/>
    </row>
    <row r="60" spans="1:37" ht="14.25" customHeight="1">
      <c r="A60" s="756" t="s">
        <v>520</v>
      </c>
      <c r="B60" s="542" t="s">
        <v>103</v>
      </c>
      <c r="C60" s="565"/>
      <c r="D60" s="523"/>
      <c r="E60" s="565"/>
      <c r="F60" s="523"/>
      <c r="G60" s="565"/>
      <c r="H60" s="523"/>
      <c r="I60" s="963"/>
      <c r="J60" s="523"/>
      <c r="K60" s="963"/>
      <c r="L60" s="523"/>
      <c r="M60" s="963"/>
      <c r="N60" s="542"/>
      <c r="O60" s="963"/>
      <c r="P60" s="523"/>
      <c r="Q60" s="963"/>
      <c r="R60" s="523"/>
      <c r="S60" s="963"/>
      <c r="T60" s="523"/>
      <c r="U60" s="963"/>
      <c r="V60" s="523"/>
      <c r="W60" s="963"/>
      <c r="X60" s="523"/>
      <c r="Y60" s="1271"/>
      <c r="Z60" s="963"/>
      <c r="AA60" s="565" t="s">
        <v>237</v>
      </c>
      <c r="AB60" s="1271"/>
      <c r="AC60" s="963"/>
      <c r="AD60" s="565" t="s">
        <v>237</v>
      </c>
      <c r="AE60" s="1086"/>
      <c r="AF60" s="962"/>
      <c r="AG60" s="963"/>
      <c r="AH60" s="752"/>
      <c r="AI60" s="752"/>
      <c r="AJ60" s="1634"/>
      <c r="AK60" s="1610"/>
    </row>
    <row r="61" spans="1:37" ht="14.25" customHeight="1">
      <c r="A61" s="757" t="s">
        <v>1520</v>
      </c>
      <c r="B61" s="542">
        <v>31.6</v>
      </c>
      <c r="C61" s="565"/>
      <c r="D61" s="542">
        <v>17.5</v>
      </c>
      <c r="E61" s="565"/>
      <c r="F61" s="542">
        <v>4.7999999999999972</v>
      </c>
      <c r="G61" s="565"/>
      <c r="H61" s="542">
        <v>4.3999999999999986</v>
      </c>
      <c r="I61" s="963"/>
      <c r="J61" s="542">
        <v>26.900000000000006</v>
      </c>
      <c r="K61" s="963"/>
      <c r="L61" s="542">
        <v>239.1</v>
      </c>
      <c r="M61" s="963"/>
      <c r="N61" s="542">
        <v>5</v>
      </c>
      <c r="O61" s="963"/>
      <c r="P61" s="523">
        <v>19</v>
      </c>
      <c r="Q61" s="963"/>
      <c r="R61" s="523">
        <v>4.6999999999999886</v>
      </c>
      <c r="S61" s="963"/>
      <c r="T61" s="523">
        <v>1.6999999999999886</v>
      </c>
      <c r="U61" s="963"/>
      <c r="V61" s="523">
        <f>$AA61-SUM($B61:T61)</f>
        <v>127.10000000000002</v>
      </c>
      <c r="W61" s="963"/>
      <c r="X61" s="523"/>
      <c r="Y61" s="1271"/>
      <c r="Z61" s="963"/>
      <c r="AA61" s="1012">
        <v>481.8</v>
      </c>
      <c r="AB61" s="274"/>
      <c r="AC61" s="535" t="s">
        <v>103</v>
      </c>
      <c r="AD61" s="1012">
        <v>869</v>
      </c>
      <c r="AE61" s="1086"/>
      <c r="AF61" s="962"/>
      <c r="AG61" s="1090">
        <f>ROUND(SUM(AA61-AD61),1)</f>
        <v>-387.2</v>
      </c>
      <c r="AH61" s="752"/>
      <c r="AI61" s="544">
        <f>ROUND(IF(AD61=0,0,AG61/ABS(AD61)),3)</f>
        <v>-0.44600000000000001</v>
      </c>
      <c r="AJ61" s="1634"/>
      <c r="AK61" s="1610"/>
    </row>
    <row r="62" spans="1:37" ht="15.5">
      <c r="A62" s="752"/>
      <c r="B62" s="1130"/>
      <c r="C62" s="565"/>
      <c r="D62" s="1130"/>
      <c r="E62" s="565"/>
      <c r="F62" s="1130"/>
      <c r="G62" s="565"/>
      <c r="H62" s="1130"/>
      <c r="I62" s="963"/>
      <c r="J62" s="1131"/>
      <c r="K62" s="963"/>
      <c r="L62" s="1131"/>
      <c r="M62" s="963"/>
      <c r="N62" s="1131"/>
      <c r="O62" s="963"/>
      <c r="P62" s="1131"/>
      <c r="Q62" s="963"/>
      <c r="R62" s="1131"/>
      <c r="S62" s="963"/>
      <c r="T62" s="1131"/>
      <c r="U62" s="963"/>
      <c r="V62" s="1131"/>
      <c r="W62" s="963"/>
      <c r="X62" s="1131"/>
      <c r="Y62" s="1271"/>
      <c r="Z62" s="963"/>
      <c r="AA62" s="565"/>
      <c r="AB62" s="1271"/>
      <c r="AC62" s="963"/>
      <c r="AD62" s="565"/>
      <c r="AE62" s="1086"/>
      <c r="AF62" s="962"/>
      <c r="AG62" s="963"/>
      <c r="AH62" s="752"/>
      <c r="AI62" s="752"/>
      <c r="AJ62" s="1634"/>
      <c r="AK62" s="1610"/>
    </row>
    <row r="63" spans="1:37" ht="14.25" customHeight="1">
      <c r="A63" s="755" t="s">
        <v>554</v>
      </c>
      <c r="B63" s="622">
        <f>ROUND(SUM(B59:B61),1)</f>
        <v>31.6</v>
      </c>
      <c r="C63" s="749"/>
      <c r="D63" s="622">
        <f>ROUND(SUM(D59:D61),1)</f>
        <v>18.7</v>
      </c>
      <c r="E63" s="753"/>
      <c r="F63" s="622">
        <f>ROUND(SUM(F59:F61),1)</f>
        <v>4.9000000000000004</v>
      </c>
      <c r="G63" s="753"/>
      <c r="H63" s="622">
        <f>ROUND(SUM(H59:H61),1)</f>
        <v>27.8</v>
      </c>
      <c r="I63" s="754"/>
      <c r="J63" s="1089">
        <f>ROUND(SUM(J59:J61),1)</f>
        <v>29.6</v>
      </c>
      <c r="K63" s="754"/>
      <c r="L63" s="1089">
        <f>ROUND(SUM(L59:L61),1)</f>
        <v>239.7</v>
      </c>
      <c r="M63" s="754"/>
      <c r="N63" s="1089">
        <f>ROUND(SUM(N59:N61),1)</f>
        <v>5</v>
      </c>
      <c r="O63" s="754"/>
      <c r="P63" s="1089">
        <f>ROUND(SUM(P59:P61),1)</f>
        <v>20.100000000000001</v>
      </c>
      <c r="Q63" s="424"/>
      <c r="R63" s="1089">
        <f>ROUND(SUM(R59:R61),1)</f>
        <v>4.7</v>
      </c>
      <c r="S63" s="754"/>
      <c r="T63" s="1089">
        <f>ROUND(SUM(T59:T61),1)</f>
        <v>1.7</v>
      </c>
      <c r="U63" s="754"/>
      <c r="V63" s="1089">
        <f>ROUND(SUM(V59:V61),1)</f>
        <v>131.1</v>
      </c>
      <c r="W63" s="754"/>
      <c r="X63" s="1089">
        <f>ROUND(SUM(X59:X61),1)</f>
        <v>0</v>
      </c>
      <c r="Y63" s="1272"/>
      <c r="Z63" s="424"/>
      <c r="AA63" s="1089">
        <f>ROUND(SUM(AA59:AA61),1)</f>
        <v>514.9</v>
      </c>
      <c r="AB63" s="1272"/>
      <c r="AC63" s="424"/>
      <c r="AD63" s="1089">
        <f>ROUND(SUM(AD59:AD61),1)</f>
        <v>912.3</v>
      </c>
      <c r="AE63" s="1917"/>
      <c r="AF63" s="750"/>
      <c r="AG63" s="1089">
        <f>ROUND(SUM(AG59:AG61),1)</f>
        <v>-397.4</v>
      </c>
      <c r="AH63" s="88"/>
      <c r="AI63" s="549">
        <f>ROUND(IF(AD63=0,0,AG63/ABS(AD63)),3)</f>
        <v>-0.436</v>
      </c>
      <c r="AJ63" s="1610"/>
      <c r="AK63" s="1610"/>
    </row>
    <row r="64" spans="1:37" ht="12" customHeight="1">
      <c r="A64" s="752"/>
      <c r="B64" s="565"/>
      <c r="C64" s="565"/>
      <c r="D64" s="758"/>
      <c r="E64" s="758"/>
      <c r="F64" s="758"/>
      <c r="G64" s="758"/>
      <c r="H64" s="758"/>
      <c r="I64" s="1091"/>
      <c r="J64" s="1091"/>
      <c r="K64" s="1091"/>
      <c r="L64" s="1091"/>
      <c r="M64" s="1091"/>
      <c r="N64" s="1091"/>
      <c r="O64" s="1091"/>
      <c r="P64" s="1091"/>
      <c r="Q64" s="1091"/>
      <c r="R64" s="1091"/>
      <c r="S64" s="1091"/>
      <c r="T64" s="1091"/>
      <c r="U64" s="1091"/>
      <c r="V64" s="1091"/>
      <c r="W64" s="1091"/>
      <c r="X64" s="1091"/>
      <c r="Y64" s="1271"/>
      <c r="Z64" s="963"/>
      <c r="AA64" s="565"/>
      <c r="AB64" s="1271"/>
      <c r="AC64" s="963"/>
      <c r="AD64" s="565"/>
      <c r="AE64" s="1086"/>
      <c r="AF64" s="962"/>
      <c r="AG64" s="963"/>
      <c r="AH64" s="752"/>
      <c r="AI64" s="752"/>
      <c r="AJ64" s="1634"/>
      <c r="AK64" s="1610"/>
    </row>
    <row r="65" spans="1:37" ht="14.25" customHeight="1">
      <c r="A65" s="755" t="s">
        <v>143</v>
      </c>
      <c r="B65" s="565"/>
      <c r="C65" s="565"/>
      <c r="D65" s="758"/>
      <c r="E65" s="758"/>
      <c r="F65" s="758"/>
      <c r="G65" s="758"/>
      <c r="H65" s="758"/>
      <c r="I65" s="1091"/>
      <c r="J65" s="1091"/>
      <c r="K65" s="1091"/>
      <c r="L65" s="1091"/>
      <c r="M65" s="1091"/>
      <c r="N65" s="1091"/>
      <c r="O65" s="1091"/>
      <c r="P65" s="1091"/>
      <c r="Q65" s="1091"/>
      <c r="R65" s="1091"/>
      <c r="S65" s="1091"/>
      <c r="T65" s="1091"/>
      <c r="U65" s="1091"/>
      <c r="V65" s="1091"/>
      <c r="W65" s="1091"/>
      <c r="X65" s="1091"/>
      <c r="Y65" s="1271"/>
      <c r="Z65" s="963"/>
      <c r="AA65" s="565"/>
      <c r="AB65" s="1271"/>
      <c r="AC65" s="963"/>
      <c r="AD65" s="565"/>
      <c r="AE65" s="1086"/>
      <c r="AF65" s="962"/>
      <c r="AG65" s="963"/>
      <c r="AH65" s="752"/>
      <c r="AI65" s="752"/>
      <c r="AJ65" s="1634"/>
      <c r="AK65" s="1610"/>
    </row>
    <row r="66" spans="1:37" ht="14.25" customHeight="1">
      <c r="A66" s="88" t="s">
        <v>555</v>
      </c>
      <c r="B66" s="622">
        <f>ROUND(SUM(B55-B63),1)</f>
        <v>4477.8</v>
      </c>
      <c r="C66" s="749"/>
      <c r="D66" s="622">
        <f>ROUND(SUM(D55-D63),1)</f>
        <v>2842.2</v>
      </c>
      <c r="E66" s="753"/>
      <c r="F66" s="622">
        <f>ROUND(SUM(F55-F63),1)</f>
        <v>5140</v>
      </c>
      <c r="G66" s="753"/>
      <c r="H66" s="622">
        <f>ROUND(SUM(H55-H63),1)</f>
        <v>2925.4</v>
      </c>
      <c r="I66" s="754"/>
      <c r="J66" s="1089">
        <f>ROUND(SUM(J55-J63),1)</f>
        <v>2666.3</v>
      </c>
      <c r="K66" s="754"/>
      <c r="L66" s="1089">
        <f>ROUND(SUM(L55-L63),1)</f>
        <v>4854.7</v>
      </c>
      <c r="M66" s="754"/>
      <c r="N66" s="1089">
        <f>ROUND(SUM(N55-N63),1)</f>
        <v>1801.1</v>
      </c>
      <c r="O66" s="754"/>
      <c r="P66" s="1089">
        <f>ROUND(SUM(P55-P63),1)</f>
        <v>2726.8</v>
      </c>
      <c r="Q66" s="424"/>
      <c r="R66" s="1089">
        <f>ROUND(SUM(R55-R63),1)</f>
        <v>6424.3</v>
      </c>
      <c r="S66" s="754"/>
      <c r="T66" s="1089">
        <f>ROUND(SUM(T55-T63),1)</f>
        <v>5736.5</v>
      </c>
      <c r="U66" s="754"/>
      <c r="V66" s="1089">
        <f>ROUND(SUM(V55-V63),1)</f>
        <v>3876.8</v>
      </c>
      <c r="W66" s="754"/>
      <c r="X66" s="1089">
        <f>ROUND(SUM(X55-X63),1)</f>
        <v>0</v>
      </c>
      <c r="Y66" s="1272"/>
      <c r="Z66" s="424"/>
      <c r="AA66" s="1089">
        <f>ROUND(SUM(AA55-AA63),1)</f>
        <v>43471.9</v>
      </c>
      <c r="AB66" s="1272"/>
      <c r="AC66" s="424"/>
      <c r="AD66" s="1089">
        <f>ROUND(SUM(AD55-AD63),1)</f>
        <v>38489.800000000003</v>
      </c>
      <c r="AE66" s="1917"/>
      <c r="AF66" s="750"/>
      <c r="AG66" s="1089">
        <f>ROUND(SUM(+AG55-AG63),1)</f>
        <v>4982.1000000000004</v>
      </c>
      <c r="AH66" s="88"/>
      <c r="AI66" s="549">
        <f>ROUND(IF(AD66=0,0,AG66/ABS(AD66)),3)</f>
        <v>0.129</v>
      </c>
      <c r="AJ66" s="1610"/>
      <c r="AK66" s="1610"/>
    </row>
    <row r="67" spans="1:37" ht="19.5" customHeight="1">
      <c r="A67" s="752"/>
      <c r="B67" s="565"/>
      <c r="C67" s="565"/>
      <c r="D67" s="565"/>
      <c r="E67" s="565"/>
      <c r="F67" s="565"/>
      <c r="G67" s="565"/>
      <c r="H67" s="565"/>
      <c r="I67" s="963"/>
      <c r="J67" s="963"/>
      <c r="K67" s="963"/>
      <c r="L67" s="963"/>
      <c r="M67" s="963"/>
      <c r="N67" s="963"/>
      <c r="O67" s="963"/>
      <c r="P67" s="963"/>
      <c r="Q67" s="963"/>
      <c r="R67" s="963"/>
      <c r="S67" s="963"/>
      <c r="T67" s="963"/>
      <c r="U67" s="963"/>
      <c r="V67" s="963"/>
      <c r="W67" s="963"/>
      <c r="X67" s="963"/>
      <c r="Y67" s="1271"/>
      <c r="Z67" s="963"/>
      <c r="AA67" s="565"/>
      <c r="AB67" s="1271"/>
      <c r="AC67" s="963"/>
      <c r="AD67" s="565"/>
      <c r="AE67" s="1086"/>
      <c r="AF67" s="962"/>
      <c r="AG67" s="963"/>
      <c r="AH67" s="752"/>
      <c r="AI67" s="752"/>
      <c r="AJ67" s="1634"/>
      <c r="AK67" s="1610"/>
    </row>
    <row r="68" spans="1:37" ht="14.25" customHeight="1">
      <c r="A68" s="755" t="s">
        <v>145</v>
      </c>
      <c r="B68" s="565"/>
      <c r="C68" s="565"/>
      <c r="D68" s="565"/>
      <c r="E68" s="565"/>
      <c r="F68" s="565"/>
      <c r="G68" s="565"/>
      <c r="H68" s="565"/>
      <c r="I68" s="963"/>
      <c r="J68" s="963"/>
      <c r="K68" s="963"/>
      <c r="L68" s="963"/>
      <c r="M68" s="963"/>
      <c r="N68" s="963"/>
      <c r="O68" s="963"/>
      <c r="P68" s="963"/>
      <c r="Q68" s="963"/>
      <c r="R68" s="963"/>
      <c r="S68" s="963"/>
      <c r="T68" s="963"/>
      <c r="U68" s="963"/>
      <c r="V68" s="963"/>
      <c r="W68" s="963"/>
      <c r="X68" s="963"/>
      <c r="Y68" s="1271"/>
      <c r="Z68" s="963"/>
      <c r="AA68" s="565"/>
      <c r="AB68" s="1271"/>
      <c r="AC68" s="963"/>
      <c r="AD68" s="565"/>
      <c r="AE68" s="1086"/>
      <c r="AF68" s="962"/>
      <c r="AG68" s="963"/>
      <c r="AH68" s="752"/>
      <c r="AI68" s="752"/>
      <c r="AJ68" s="1634"/>
      <c r="AK68" s="1610"/>
    </row>
    <row r="69" spans="1:37" ht="14.25" customHeight="1">
      <c r="A69" s="756" t="s">
        <v>545</v>
      </c>
      <c r="B69" s="542">
        <v>300.3</v>
      </c>
      <c r="C69" s="565"/>
      <c r="D69" s="542">
        <v>153.39999999999998</v>
      </c>
      <c r="E69" s="565"/>
      <c r="F69" s="542">
        <v>99.400000000000034</v>
      </c>
      <c r="G69" s="565"/>
      <c r="H69" s="542">
        <v>135.70000000000005</v>
      </c>
      <c r="I69" s="963"/>
      <c r="J69" s="542">
        <v>158.19999999999999</v>
      </c>
      <c r="K69" s="963"/>
      <c r="L69" s="542">
        <v>41</v>
      </c>
      <c r="M69" s="963"/>
      <c r="N69" s="542">
        <v>236.20000000000005</v>
      </c>
      <c r="O69" s="963"/>
      <c r="P69" s="523">
        <v>91.999999999999773</v>
      </c>
      <c r="Q69" s="963"/>
      <c r="R69" s="523">
        <v>95.100000000000136</v>
      </c>
      <c r="S69" s="963"/>
      <c r="T69" s="523">
        <v>925.49</v>
      </c>
      <c r="U69" s="963"/>
      <c r="V69" s="523">
        <f>$AA69-SUM($B69:T69)</f>
        <v>521.01000000000022</v>
      </c>
      <c r="W69" s="963"/>
      <c r="X69" s="523"/>
      <c r="Y69" s="1271"/>
      <c r="Z69" s="963"/>
      <c r="AA69" s="542">
        <v>2757.8</v>
      </c>
      <c r="AB69" s="297"/>
      <c r="AC69" s="1857"/>
      <c r="AD69" s="542">
        <v>1777.2</v>
      </c>
      <c r="AE69" s="1086"/>
      <c r="AF69" s="962"/>
      <c r="AG69" s="963">
        <f>ROUND(SUM(AA69-AD69),1)</f>
        <v>980.6</v>
      </c>
      <c r="AH69" s="752"/>
      <c r="AI69" s="276">
        <f>ROUND(IF(AD69=0,0,AG69/ABS(AD69)),3)</f>
        <v>0.55200000000000005</v>
      </c>
      <c r="AJ69" s="1634"/>
      <c r="AK69" s="1610"/>
    </row>
    <row r="70" spans="1:37" ht="14.25" customHeight="1">
      <c r="A70" s="756" t="s">
        <v>556</v>
      </c>
      <c r="B70" s="542">
        <v>-4534.7999999999993</v>
      </c>
      <c r="C70" s="565"/>
      <c r="D70" s="542">
        <v>-3082.7000000000007</v>
      </c>
      <c r="E70" s="565"/>
      <c r="F70" s="542">
        <v>-5150.2999999999993</v>
      </c>
      <c r="G70" s="565"/>
      <c r="H70" s="542">
        <v>-2943.9000000000015</v>
      </c>
      <c r="I70" s="963"/>
      <c r="J70" s="542">
        <v>-2546.2999999999993</v>
      </c>
      <c r="K70" s="963"/>
      <c r="L70" s="542">
        <v>-5561.9000000000015</v>
      </c>
      <c r="M70" s="963"/>
      <c r="N70" s="542">
        <v>-1804.2999999999993</v>
      </c>
      <c r="O70" s="963"/>
      <c r="P70" s="523">
        <v>-2762.3999999999978</v>
      </c>
      <c r="Q70" s="963"/>
      <c r="R70" s="523">
        <v>-6454</v>
      </c>
      <c r="S70" s="963"/>
      <c r="T70" s="523">
        <v>-5528.9000000000015</v>
      </c>
      <c r="U70" s="963"/>
      <c r="V70" s="523">
        <f>$AA70-SUM($B70:T70)</f>
        <v>-2777.6999999999971</v>
      </c>
      <c r="W70" s="963"/>
      <c r="X70" s="523"/>
      <c r="Y70" s="1271"/>
      <c r="Z70" s="963"/>
      <c r="AA70" s="1012">
        <v>-43147.199999999997</v>
      </c>
      <c r="AB70" s="297"/>
      <c r="AC70" s="1857"/>
      <c r="AD70" s="1012">
        <v>-38603.5</v>
      </c>
      <c r="AE70" s="1086"/>
      <c r="AF70" s="962"/>
      <c r="AG70" s="1090">
        <f>ROUND(SUM(-(AA70-AD70)),1)</f>
        <v>4543.7</v>
      </c>
      <c r="AH70" s="752"/>
      <c r="AI70" s="544">
        <f>ROUND(IF(AD70=0,0,AG70/ABS(AD70)),3)</f>
        <v>0.11799999999999999</v>
      </c>
      <c r="AJ70" s="1634"/>
      <c r="AK70" s="1610"/>
    </row>
    <row r="71" spans="1:37" ht="15.5">
      <c r="A71" s="752"/>
      <c r="B71" s="1131"/>
      <c r="C71" s="963"/>
      <c r="D71" s="1132"/>
      <c r="E71" s="963"/>
      <c r="F71" s="1132"/>
      <c r="G71" s="963"/>
      <c r="H71" s="1132"/>
      <c r="I71" s="963"/>
      <c r="J71" s="1132"/>
      <c r="K71" s="963"/>
      <c r="L71" s="1132"/>
      <c r="M71" s="963"/>
      <c r="N71" s="1132"/>
      <c r="O71" s="963"/>
      <c r="P71" s="1132"/>
      <c r="Q71" s="963"/>
      <c r="R71" s="1132"/>
      <c r="S71" s="963"/>
      <c r="T71" s="1132"/>
      <c r="U71" s="963"/>
      <c r="V71" s="1132"/>
      <c r="W71" s="963"/>
      <c r="X71" s="1132"/>
      <c r="Y71" s="1271"/>
      <c r="Z71" s="963"/>
      <c r="AA71" s="565"/>
      <c r="AB71" s="1271"/>
      <c r="AC71" s="963"/>
      <c r="AD71" s="565"/>
      <c r="AE71" s="1086"/>
      <c r="AF71" s="962"/>
      <c r="AG71" s="963"/>
      <c r="AH71" s="752"/>
      <c r="AI71" s="752"/>
      <c r="AJ71" s="1634"/>
      <c r="AK71" s="1610"/>
    </row>
    <row r="72" spans="1:37" ht="14.25" customHeight="1">
      <c r="A72" s="755" t="s">
        <v>557</v>
      </c>
      <c r="B72" s="1046">
        <f>ROUND(SUM(B69:B70),1)</f>
        <v>-4234.5</v>
      </c>
      <c r="C72" s="424"/>
      <c r="D72" s="1046">
        <f>ROUND(SUM(D69:D70),1)</f>
        <v>-2929.3</v>
      </c>
      <c r="E72" s="754"/>
      <c r="F72" s="1046">
        <f>ROUND(SUM(F69:F70),1)</f>
        <v>-5050.8999999999996</v>
      </c>
      <c r="G72" s="754"/>
      <c r="H72" s="1046">
        <f>ROUND(SUM(H69:H70),1)</f>
        <v>-2808.2</v>
      </c>
      <c r="I72" s="754"/>
      <c r="J72" s="1046">
        <f>ROUND(SUM(J69:J70),1)</f>
        <v>-2388.1</v>
      </c>
      <c r="K72" s="754"/>
      <c r="L72" s="1046">
        <f>ROUND(SUM(L69:L70),1)</f>
        <v>-5520.9</v>
      </c>
      <c r="M72" s="754"/>
      <c r="N72" s="1046">
        <f>ROUND(SUM(N69:N70),1)</f>
        <v>-1568.1</v>
      </c>
      <c r="O72" s="754"/>
      <c r="P72" s="1046">
        <f>ROUND(SUM(P69:P70),1)</f>
        <v>-2670.4</v>
      </c>
      <c r="Q72" s="684"/>
      <c r="R72" s="1046">
        <f>ROUND(SUM(R69:R70),1)</f>
        <v>-6358.9</v>
      </c>
      <c r="S72" s="754"/>
      <c r="T72" s="1046">
        <f>ROUND(SUM(T69:T70),1)</f>
        <v>-4603.3999999999996</v>
      </c>
      <c r="U72" s="754"/>
      <c r="V72" s="1046">
        <f>ROUND(SUM(V69:V70),1)</f>
        <v>-2256.6999999999998</v>
      </c>
      <c r="W72" s="754"/>
      <c r="X72" s="1046">
        <f>ROUND(SUM(X69:X70),1)</f>
        <v>0</v>
      </c>
      <c r="Y72" s="1272"/>
      <c r="Z72" s="424"/>
      <c r="AA72" s="1046">
        <f>ROUND(SUM(AA69:AA70),1)</f>
        <v>-40389.4</v>
      </c>
      <c r="AB72" s="1272"/>
      <c r="AC72" s="424"/>
      <c r="AD72" s="1046">
        <f>ROUND(SUM(AD69:AD70),1)</f>
        <v>-36826.300000000003</v>
      </c>
      <c r="AE72" s="1917"/>
      <c r="AF72" s="750"/>
      <c r="AG72" s="1046">
        <f>ROUND(SUM(AA72-AD72),1)</f>
        <v>-3563.1</v>
      </c>
      <c r="AH72" s="88"/>
      <c r="AI72" s="549">
        <f>ROUND(IF(AD72=0,0,AG72/ABS(AD72)),3)</f>
        <v>-9.7000000000000003E-2</v>
      </c>
      <c r="AJ72" s="1610"/>
      <c r="AK72" s="1610"/>
    </row>
    <row r="73" spans="1:37" ht="19.5" customHeight="1">
      <c r="A73" s="752"/>
      <c r="B73" s="963"/>
      <c r="C73" s="963"/>
      <c r="D73" s="1086"/>
      <c r="E73" s="963"/>
      <c r="F73" s="1086"/>
      <c r="G73" s="963"/>
      <c r="H73" s="1086"/>
      <c r="I73" s="963"/>
      <c r="J73" s="1086"/>
      <c r="K73" s="963"/>
      <c r="L73" s="1086"/>
      <c r="M73" s="963"/>
      <c r="N73" s="1086"/>
      <c r="O73" s="963"/>
      <c r="P73" s="1086"/>
      <c r="Q73" s="963"/>
      <c r="R73" s="1086"/>
      <c r="S73" s="963"/>
      <c r="T73" s="1086"/>
      <c r="U73" s="963"/>
      <c r="V73" s="1086"/>
      <c r="W73" s="963"/>
      <c r="X73" s="1086"/>
      <c r="Y73" s="1271"/>
      <c r="Z73" s="963"/>
      <c r="AA73" s="565"/>
      <c r="AB73" s="1271"/>
      <c r="AC73" s="963"/>
      <c r="AD73" s="565"/>
      <c r="AE73" s="1086"/>
      <c r="AF73" s="962"/>
      <c r="AG73" s="963"/>
      <c r="AH73" s="752"/>
      <c r="AI73" s="752"/>
      <c r="AJ73" s="1634"/>
      <c r="AK73" s="1610"/>
    </row>
    <row r="74" spans="1:37" ht="14.25" customHeight="1">
      <c r="A74" s="88" t="s">
        <v>558</v>
      </c>
      <c r="B74" s="963"/>
      <c r="C74" s="963"/>
      <c r="D74" s="1091"/>
      <c r="E74" s="963"/>
      <c r="F74" s="1091"/>
      <c r="G74" s="963"/>
      <c r="H74" s="1091"/>
      <c r="I74" s="963"/>
      <c r="J74" s="1091"/>
      <c r="K74" s="963"/>
      <c r="L74" s="1091"/>
      <c r="M74" s="963"/>
      <c r="N74" s="1091"/>
      <c r="O74" s="963"/>
      <c r="P74" s="1091"/>
      <c r="Q74" s="963"/>
      <c r="R74" s="1091"/>
      <c r="S74" s="963"/>
      <c r="T74" s="1091"/>
      <c r="U74" s="963"/>
      <c r="V74" s="1091"/>
      <c r="W74" s="963"/>
      <c r="X74" s="1091"/>
      <c r="Y74" s="1271"/>
      <c r="Z74" s="963"/>
      <c r="AA74" s="565"/>
      <c r="AB74" s="1271"/>
      <c r="AC74" s="963"/>
      <c r="AD74" s="565"/>
      <c r="AE74" s="1086"/>
      <c r="AF74" s="962"/>
      <c r="AG74" s="963"/>
      <c r="AH74" s="752"/>
      <c r="AI74" s="752"/>
      <c r="AJ74" s="1634"/>
      <c r="AK74" s="1610"/>
    </row>
    <row r="75" spans="1:37" ht="14.25" customHeight="1">
      <c r="A75" s="88" t="s">
        <v>559</v>
      </c>
      <c r="B75" s="963"/>
      <c r="C75" s="963"/>
      <c r="D75" s="1091"/>
      <c r="E75" s="963"/>
      <c r="F75" s="1091"/>
      <c r="G75" s="963"/>
      <c r="H75" s="1091"/>
      <c r="I75" s="963"/>
      <c r="J75" s="1091"/>
      <c r="K75" s="963"/>
      <c r="L75" s="1091"/>
      <c r="M75" s="963"/>
      <c r="N75" s="1091"/>
      <c r="O75" s="963"/>
      <c r="P75" s="1091"/>
      <c r="Q75" s="963"/>
      <c r="R75" s="1091"/>
      <c r="S75" s="963"/>
      <c r="T75" s="1091"/>
      <c r="U75" s="963"/>
      <c r="V75" s="1091"/>
      <c r="W75" s="963"/>
      <c r="X75" s="1091"/>
      <c r="Y75" s="1271"/>
      <c r="Z75" s="963"/>
      <c r="AA75" s="565"/>
      <c r="AB75" s="1271"/>
      <c r="AC75" s="963"/>
      <c r="AD75" s="565"/>
      <c r="AE75" s="1086"/>
      <c r="AF75" s="962"/>
      <c r="AG75" s="963"/>
      <c r="AH75" s="752"/>
      <c r="AI75" s="752"/>
      <c r="AJ75" s="1634"/>
      <c r="AK75" s="1610"/>
    </row>
    <row r="76" spans="1:37" ht="14.25" customHeight="1">
      <c r="A76" s="88" t="s">
        <v>560</v>
      </c>
      <c r="B76" s="1089">
        <f>ROUND(SUM(+B66+B72),1)</f>
        <v>243.3</v>
      </c>
      <c r="C76" s="424"/>
      <c r="D76" s="1089">
        <f>ROUND(SUM(+D66+D72),1)</f>
        <v>-87.1</v>
      </c>
      <c r="E76" s="424"/>
      <c r="F76" s="1089">
        <f>ROUND(SUM(+F66+F72),1)</f>
        <v>89.1</v>
      </c>
      <c r="G76" s="424"/>
      <c r="H76" s="1089">
        <f>ROUND(SUM(+H66+H72),1)</f>
        <v>117.2</v>
      </c>
      <c r="I76" s="424"/>
      <c r="J76" s="1089">
        <f>ROUND(SUM(+J66+J72),1)</f>
        <v>278.2</v>
      </c>
      <c r="K76" s="424"/>
      <c r="L76" s="1089">
        <f>ROUND(SUM(+L66+L72),1)</f>
        <v>-666.2</v>
      </c>
      <c r="M76" s="424"/>
      <c r="N76" s="1089">
        <f>ROUND(SUM(+N66+N72),1)</f>
        <v>233</v>
      </c>
      <c r="O76" s="424"/>
      <c r="P76" s="1089">
        <f>ROUND(SUM(+P66+P72),1)</f>
        <v>56.4</v>
      </c>
      <c r="Q76" s="424"/>
      <c r="R76" s="1089">
        <f>ROUND(SUM(+R66+R72),1)</f>
        <v>65.400000000000006</v>
      </c>
      <c r="S76" s="424"/>
      <c r="T76" s="1089">
        <f>ROUND(SUM(+T66+T72),1)</f>
        <v>1133.0999999999999</v>
      </c>
      <c r="U76" s="424"/>
      <c r="V76" s="1089">
        <f>ROUND(SUM(+V66+V72),1)</f>
        <v>1620.1</v>
      </c>
      <c r="W76" s="424"/>
      <c r="X76" s="1089">
        <f>ROUND(SUM(+X66+X72),1)</f>
        <v>0</v>
      </c>
      <c r="Y76" s="1272"/>
      <c r="Z76" s="424"/>
      <c r="AA76" s="1089">
        <f>ROUND(SUM(+AA66+AA72),1)</f>
        <v>3082.5</v>
      </c>
      <c r="AB76" s="1272"/>
      <c r="AC76" s="424"/>
      <c r="AD76" s="1089">
        <f>ROUND(SUM(+AD66+AD72),1)</f>
        <v>1663.5</v>
      </c>
      <c r="AE76" s="1917"/>
      <c r="AF76" s="750"/>
      <c r="AG76" s="1089">
        <f>ROUND(SUM(+AG66+AG72),1)</f>
        <v>1419</v>
      </c>
      <c r="AH76" s="88"/>
      <c r="AI76" s="550">
        <f>ROUND(IF(AD76=0,0,AG76/ABS(AD76)),3)</f>
        <v>0.85299999999999998</v>
      </c>
      <c r="AJ76" s="1610"/>
      <c r="AK76" s="1610"/>
    </row>
    <row r="77" spans="1:37" ht="15.5">
      <c r="A77" s="752"/>
      <c r="B77" s="920"/>
      <c r="C77" s="920"/>
      <c r="D77" s="1083"/>
      <c r="E77" s="920"/>
      <c r="F77" s="1133"/>
      <c r="G77" s="920"/>
      <c r="H77" s="1133"/>
      <c r="I77" s="920"/>
      <c r="J77" s="1133"/>
      <c r="K77" s="920"/>
      <c r="L77" s="1134"/>
      <c r="M77" s="920"/>
      <c r="N77" s="1133"/>
      <c r="O77" s="920"/>
      <c r="P77" s="1133"/>
      <c r="Q77" s="920"/>
      <c r="R77" s="1133"/>
      <c r="S77" s="920"/>
      <c r="T77" s="1133"/>
      <c r="U77" s="920"/>
      <c r="V77" s="1133"/>
      <c r="W77" s="920"/>
      <c r="X77" s="1133"/>
      <c r="Y77" s="1270"/>
      <c r="Z77" s="920"/>
      <c r="AA77" s="920" t="s">
        <v>103</v>
      </c>
      <c r="AB77" s="1270"/>
      <c r="AC77" s="920"/>
      <c r="AD77" s="2077"/>
      <c r="AE77" s="1083"/>
      <c r="AF77" s="922"/>
      <c r="AG77" s="920"/>
      <c r="AH77" s="752"/>
      <c r="AI77" s="752"/>
      <c r="AJ77" s="1634"/>
      <c r="AK77" s="1610"/>
    </row>
    <row r="78" spans="1:37" ht="19.5" customHeight="1" thickBot="1">
      <c r="A78" s="88" t="s">
        <v>441</v>
      </c>
      <c r="B78" s="759">
        <f>ROUND(SUM(B13+B76),1)</f>
        <v>347.9</v>
      </c>
      <c r="C78" s="87"/>
      <c r="D78" s="759">
        <f>ROUND(SUM(D13+D76),1)</f>
        <v>260.8</v>
      </c>
      <c r="E78" s="87"/>
      <c r="F78" s="759">
        <f>ROUND(SUM(F13+F76),1)</f>
        <v>349.9</v>
      </c>
      <c r="G78" s="87"/>
      <c r="H78" s="759">
        <f>ROUND(SUM(H13+H76),1)</f>
        <v>467.1</v>
      </c>
      <c r="I78" s="87"/>
      <c r="J78" s="759">
        <f>ROUND(SUM(J13+J76),1)</f>
        <v>745.3</v>
      </c>
      <c r="K78" s="87"/>
      <c r="L78" s="759">
        <f>ROUND(SUM(L13+L76),1)</f>
        <v>79.099999999999994</v>
      </c>
      <c r="M78" s="87"/>
      <c r="N78" s="759">
        <f>ROUND(SUM(N13+N76),1)</f>
        <v>312.10000000000002</v>
      </c>
      <c r="O78" s="87"/>
      <c r="P78" s="759">
        <f>ROUND(SUM(P13+P76),1)</f>
        <v>368.5</v>
      </c>
      <c r="Q78" s="87"/>
      <c r="R78" s="759">
        <f>ROUND(SUM(R13+R76),1)</f>
        <v>433.9</v>
      </c>
      <c r="S78" s="87"/>
      <c r="T78" s="759">
        <f>ROUND(SUM(T13+T76),1)</f>
        <v>1567</v>
      </c>
      <c r="U78" s="87"/>
      <c r="V78" s="759">
        <f>ROUND(SUM(V13+V76),1)</f>
        <v>3187.1</v>
      </c>
      <c r="W78" s="87"/>
      <c r="X78" s="759">
        <f>ROUND(SUM(X13+X76),1)</f>
        <v>0</v>
      </c>
      <c r="Y78" s="1268"/>
      <c r="Z78" s="87"/>
      <c r="AA78" s="759">
        <f>ROUND(SUM(AA13+AA76),1)</f>
        <v>3187.1</v>
      </c>
      <c r="AB78" s="1268"/>
      <c r="AC78" s="87"/>
      <c r="AD78" s="759">
        <f>ROUND(SUM(AD13+AD76),1)</f>
        <v>1822.9</v>
      </c>
      <c r="AE78" s="1918"/>
      <c r="AF78" s="747"/>
      <c r="AG78" s="759">
        <f>ROUND(SUM(+AG13+AG76),1)</f>
        <v>1364.2</v>
      </c>
      <c r="AH78" s="88"/>
      <c r="AI78" s="1001">
        <f>ROUND(IF(AD78=0,0,AG78/ABS(AD78)),3)</f>
        <v>0.748</v>
      </c>
      <c r="AJ78" s="1610"/>
      <c r="AK78" s="1610"/>
    </row>
    <row r="79" spans="1:37" ht="14.25" customHeight="1" thickTop="1">
      <c r="A79" s="751"/>
      <c r="B79" s="760"/>
      <c r="C79" s="760"/>
      <c r="D79" s="760"/>
      <c r="F79" s="760"/>
      <c r="H79" s="761"/>
      <c r="J79" s="761"/>
      <c r="L79" s="761"/>
      <c r="N79" s="761"/>
      <c r="P79" s="761"/>
      <c r="R79" s="761"/>
      <c r="T79" s="761"/>
      <c r="U79" s="737"/>
      <c r="V79" s="761"/>
      <c r="W79" s="737"/>
      <c r="X79" s="761"/>
      <c r="Y79" s="760"/>
      <c r="Z79" s="760"/>
      <c r="AA79" s="760"/>
      <c r="AB79" s="760"/>
      <c r="AC79" s="760"/>
      <c r="AD79" s="760"/>
      <c r="AE79" s="762"/>
      <c r="AF79" s="760"/>
      <c r="AG79" s="760"/>
      <c r="AI79" s="763"/>
    </row>
    <row r="80" spans="1:37">
      <c r="L80" s="737"/>
      <c r="T80" s="764"/>
      <c r="U80" s="764"/>
      <c r="V80" s="764"/>
      <c r="W80" s="764"/>
      <c r="X80" s="764"/>
      <c r="AD80" s="765"/>
    </row>
    <row r="81" spans="1:35" ht="12" customHeight="1">
      <c r="A81" s="752"/>
      <c r="L81" s="737"/>
      <c r="R81" s="766"/>
      <c r="T81" s="760"/>
      <c r="V81" s="760"/>
      <c r="X81" s="760"/>
    </row>
    <row r="82" spans="1:35">
      <c r="B82" s="765"/>
      <c r="L82" s="737"/>
      <c r="R82" s="766"/>
      <c r="T82" s="760"/>
      <c r="V82" s="760"/>
      <c r="X82" s="760"/>
    </row>
    <row r="83" spans="1:35">
      <c r="A83" s="767"/>
      <c r="L83" s="737"/>
    </row>
    <row r="84" spans="1:35">
      <c r="A84" s="768"/>
      <c r="B84" s="765"/>
      <c r="L84" s="737"/>
      <c r="R84" s="769"/>
    </row>
    <row r="85" spans="1:35">
      <c r="A85" s="770"/>
      <c r="B85" s="765"/>
      <c r="L85" s="737"/>
    </row>
    <row r="86" spans="1:35">
      <c r="A86" s="771"/>
      <c r="L86" s="737"/>
      <c r="AI86" s="760"/>
    </row>
    <row r="87" spans="1:35">
      <c r="L87" s="737"/>
    </row>
    <row r="88" spans="1:35">
      <c r="L88" s="737"/>
    </row>
    <row r="89" spans="1:35">
      <c r="L89" s="737"/>
    </row>
    <row r="90" spans="1:35">
      <c r="L90" s="737"/>
    </row>
    <row r="91" spans="1:35">
      <c r="L91" s="737"/>
    </row>
    <row r="92" spans="1:35">
      <c r="L92" s="737"/>
    </row>
    <row r="93" spans="1:35">
      <c r="L93" s="737"/>
    </row>
    <row r="94" spans="1:35">
      <c r="L94" s="737"/>
    </row>
    <row r="95" spans="1:35">
      <c r="L95" s="737"/>
    </row>
    <row r="96" spans="1:35">
      <c r="L96" s="737"/>
    </row>
    <row r="97" spans="12:12">
      <c r="L97" s="737"/>
    </row>
    <row r="98" spans="12:12">
      <c r="L98" s="737"/>
    </row>
    <row r="99" spans="12:12">
      <c r="L99" s="737"/>
    </row>
    <row r="100" spans="12:12">
      <c r="L100" s="737"/>
    </row>
    <row r="101" spans="12:12">
      <c r="L101" s="737"/>
    </row>
    <row r="102" spans="12:12">
      <c r="L102" s="737"/>
    </row>
    <row r="103" spans="12:12">
      <c r="L103" s="737"/>
    </row>
    <row r="104" spans="12:12">
      <c r="L104" s="737"/>
    </row>
    <row r="105" spans="12:12">
      <c r="L105" s="737"/>
    </row>
    <row r="106" spans="12:12">
      <c r="L106" s="737"/>
    </row>
    <row r="107" spans="12:12">
      <c r="L107" s="737"/>
    </row>
    <row r="108" spans="12:12">
      <c r="L108" s="737"/>
    </row>
    <row r="109" spans="12:12">
      <c r="L109" s="737"/>
    </row>
    <row r="110" spans="12:12">
      <c r="L110" s="737"/>
    </row>
    <row r="111" spans="12:12">
      <c r="L111" s="737"/>
    </row>
    <row r="112" spans="12:12">
      <c r="L112" s="737"/>
    </row>
    <row r="113" spans="12:12">
      <c r="L113" s="737"/>
    </row>
    <row r="114" spans="12:12">
      <c r="L114" s="737"/>
    </row>
    <row r="115" spans="12:12">
      <c r="L115" s="737"/>
    </row>
    <row r="116" spans="12:12">
      <c r="L116" s="737"/>
    </row>
    <row r="117" spans="12:12">
      <c r="L117" s="737"/>
    </row>
    <row r="118" spans="12:12">
      <c r="L118" s="737"/>
    </row>
    <row r="119" spans="12:12">
      <c r="L119" s="737"/>
    </row>
    <row r="120" spans="12:12">
      <c r="L120" s="737"/>
    </row>
    <row r="121" spans="12:12">
      <c r="L121" s="737"/>
    </row>
    <row r="122" spans="12:12">
      <c r="L122" s="737"/>
    </row>
    <row r="123" spans="12:12">
      <c r="L123" s="737"/>
    </row>
    <row r="124" spans="12:12">
      <c r="L124" s="737"/>
    </row>
    <row r="125" spans="12:12">
      <c r="L125" s="737"/>
    </row>
    <row r="126" spans="12:12">
      <c r="L126" s="737"/>
    </row>
    <row r="127" spans="12:12">
      <c r="L127" s="737"/>
    </row>
    <row r="128" spans="12:12">
      <c r="L128" s="737"/>
    </row>
    <row r="129" spans="12:12">
      <c r="L129" s="737"/>
    </row>
    <row r="130" spans="12:12">
      <c r="L130" s="737"/>
    </row>
    <row r="131" spans="12:12">
      <c r="L131" s="737"/>
    </row>
    <row r="132" spans="12:12">
      <c r="L132" s="737"/>
    </row>
    <row r="133" spans="12:12">
      <c r="L133" s="737"/>
    </row>
    <row r="134" spans="12:12">
      <c r="L134" s="737"/>
    </row>
    <row r="135" spans="12:12">
      <c r="L135" s="737"/>
    </row>
    <row r="136" spans="12:12">
      <c r="L136" s="737"/>
    </row>
    <row r="137" spans="12:12">
      <c r="L137" s="737"/>
    </row>
    <row r="138" spans="12:12">
      <c r="L138" s="737"/>
    </row>
    <row r="139" spans="12:12">
      <c r="L139" s="737"/>
    </row>
    <row r="140" spans="12:12">
      <c r="L140" s="737"/>
    </row>
    <row r="141" spans="12:12">
      <c r="L141" s="737"/>
    </row>
    <row r="142" spans="12:12">
      <c r="L142" s="737"/>
    </row>
    <row r="143" spans="12:12">
      <c r="L143" s="737"/>
    </row>
    <row r="144" spans="12:12">
      <c r="L144" s="737"/>
    </row>
    <row r="145" spans="12:12">
      <c r="L145" s="737"/>
    </row>
    <row r="146" spans="12:12">
      <c r="L146" s="737"/>
    </row>
    <row r="147" spans="12:12">
      <c r="L147" s="737"/>
    </row>
    <row r="148" spans="12:12">
      <c r="L148" s="737"/>
    </row>
    <row r="149" spans="12:12">
      <c r="L149" s="737"/>
    </row>
    <row r="150" spans="12:12">
      <c r="L150" s="737"/>
    </row>
    <row r="151" spans="12:12">
      <c r="L151" s="737"/>
    </row>
    <row r="152" spans="12:12">
      <c r="L152" s="737"/>
    </row>
    <row r="153" spans="12:12">
      <c r="L153" s="737"/>
    </row>
    <row r="154" spans="12:12">
      <c r="L154" s="737"/>
    </row>
    <row r="155" spans="12:12">
      <c r="L155" s="737"/>
    </row>
    <row r="156" spans="12:12">
      <c r="L156" s="737"/>
    </row>
    <row r="157" spans="12:12">
      <c r="L157" s="737"/>
    </row>
    <row r="158" spans="12:12">
      <c r="L158" s="737"/>
    </row>
    <row r="159" spans="12:12">
      <c r="L159" s="737"/>
    </row>
    <row r="160" spans="12:12">
      <c r="L160" s="737"/>
    </row>
    <row r="161" spans="12:12">
      <c r="L161" s="737"/>
    </row>
    <row r="162" spans="12:12">
      <c r="L162" s="737"/>
    </row>
    <row r="163" spans="12:12">
      <c r="L163" s="737"/>
    </row>
    <row r="164" spans="12:12">
      <c r="L164" s="737"/>
    </row>
    <row r="165" spans="12:12">
      <c r="L165" s="737"/>
    </row>
    <row r="166" spans="12:12">
      <c r="L166" s="737"/>
    </row>
    <row r="167" spans="12:12">
      <c r="L167" s="737"/>
    </row>
    <row r="168" spans="12:12">
      <c r="L168" s="737"/>
    </row>
    <row r="169" spans="12:12">
      <c r="L169" s="737"/>
    </row>
    <row r="170" spans="12:12">
      <c r="L170" s="737"/>
    </row>
    <row r="171" spans="12:12">
      <c r="L171" s="737"/>
    </row>
    <row r="172" spans="12:12">
      <c r="L172" s="737"/>
    </row>
    <row r="173" spans="12:12">
      <c r="L173" s="737"/>
    </row>
    <row r="174" spans="12:12">
      <c r="L174" s="737"/>
    </row>
    <row r="175" spans="12:12">
      <c r="L175" s="737"/>
    </row>
    <row r="176" spans="12:12">
      <c r="L176" s="737"/>
    </row>
    <row r="177" spans="12:12">
      <c r="L177" s="737"/>
    </row>
    <row r="178" spans="12:12">
      <c r="L178" s="737"/>
    </row>
    <row r="179" spans="12:12">
      <c r="L179" s="737"/>
    </row>
    <row r="180" spans="12:12">
      <c r="L180" s="737"/>
    </row>
    <row r="181" spans="12:12">
      <c r="L181" s="737"/>
    </row>
    <row r="182" spans="12:12">
      <c r="L182" s="737"/>
    </row>
    <row r="183" spans="12:12">
      <c r="L183" s="737"/>
    </row>
    <row r="184" spans="12:12">
      <c r="L184" s="737"/>
    </row>
    <row r="185" spans="12:12">
      <c r="L185" s="737"/>
    </row>
    <row r="186" spans="12:12">
      <c r="L186" s="737"/>
    </row>
    <row r="187" spans="12:12">
      <c r="L187" s="737"/>
    </row>
    <row r="188" spans="12:12">
      <c r="L188" s="737"/>
    </row>
    <row r="189" spans="12:12">
      <c r="L189" s="737"/>
    </row>
    <row r="190" spans="12:12">
      <c r="L190" s="737"/>
    </row>
    <row r="191" spans="12:12">
      <c r="L191" s="737"/>
    </row>
    <row r="192" spans="12:12">
      <c r="L192" s="737"/>
    </row>
    <row r="193" spans="12:12">
      <c r="L193" s="737"/>
    </row>
    <row r="194" spans="12:12">
      <c r="L194" s="737"/>
    </row>
    <row r="195" spans="12:12">
      <c r="L195" s="737"/>
    </row>
    <row r="196" spans="12:12">
      <c r="L196" s="737"/>
    </row>
    <row r="197" spans="12:12">
      <c r="L197" s="737"/>
    </row>
    <row r="198" spans="12:12">
      <c r="L198" s="737"/>
    </row>
    <row r="199" spans="12:12">
      <c r="L199" s="737"/>
    </row>
    <row r="200" spans="12:12">
      <c r="L200" s="737"/>
    </row>
    <row r="201" spans="12:12">
      <c r="L201" s="737"/>
    </row>
    <row r="202" spans="12:12">
      <c r="L202" s="737"/>
    </row>
    <row r="203" spans="12:12">
      <c r="L203" s="737"/>
    </row>
    <row r="204" spans="12:12">
      <c r="L204" s="737"/>
    </row>
    <row r="205" spans="12:12">
      <c r="L205" s="737"/>
    </row>
    <row r="206" spans="12:12">
      <c r="L206" s="737"/>
    </row>
    <row r="207" spans="12:12">
      <c r="L207" s="737"/>
    </row>
    <row r="208" spans="12:12">
      <c r="L208" s="737"/>
    </row>
    <row r="209" spans="12:12">
      <c r="L209" s="737"/>
    </row>
    <row r="210" spans="12:12">
      <c r="L210" s="737"/>
    </row>
    <row r="211" spans="12:12">
      <c r="L211" s="737"/>
    </row>
    <row r="212" spans="12:12">
      <c r="L212" s="737"/>
    </row>
    <row r="213" spans="12:12">
      <c r="L213" s="737"/>
    </row>
    <row r="214" spans="12:12">
      <c r="L214" s="737"/>
    </row>
    <row r="215" spans="12:12">
      <c r="L215" s="737"/>
    </row>
    <row r="216" spans="12:12">
      <c r="L216" s="737"/>
    </row>
    <row r="217" spans="12:12">
      <c r="L217" s="737"/>
    </row>
    <row r="218" spans="12:12">
      <c r="L218" s="737"/>
    </row>
    <row r="219" spans="12:12">
      <c r="L219" s="737"/>
    </row>
    <row r="220" spans="12:12">
      <c r="L220" s="737"/>
    </row>
    <row r="221" spans="12:12">
      <c r="L221" s="737"/>
    </row>
    <row r="222" spans="12:12">
      <c r="L222" s="737"/>
    </row>
    <row r="223" spans="12:12">
      <c r="L223" s="737"/>
    </row>
    <row r="224" spans="12:12">
      <c r="L224" s="737"/>
    </row>
    <row r="225" spans="12:12">
      <c r="L225" s="737"/>
    </row>
    <row r="226" spans="12:12">
      <c r="L226" s="737"/>
    </row>
    <row r="227" spans="12:12">
      <c r="L227" s="737"/>
    </row>
    <row r="228" spans="12:12">
      <c r="L228" s="737"/>
    </row>
    <row r="229" spans="12:12">
      <c r="L229" s="737"/>
    </row>
    <row r="230" spans="12:12">
      <c r="L230" s="737"/>
    </row>
    <row r="231" spans="12:12">
      <c r="L231" s="737"/>
    </row>
    <row r="232" spans="12:12">
      <c r="L232" s="737"/>
    </row>
    <row r="233" spans="12:12">
      <c r="L233" s="737"/>
    </row>
    <row r="234" spans="12:12">
      <c r="L234" s="737"/>
    </row>
    <row r="235" spans="12:12">
      <c r="L235" s="737"/>
    </row>
    <row r="236" spans="12:12">
      <c r="L236" s="737"/>
    </row>
    <row r="237" spans="12:12">
      <c r="L237" s="737"/>
    </row>
    <row r="238" spans="12:12">
      <c r="L238" s="737"/>
    </row>
    <row r="239" spans="12:12">
      <c r="L239" s="737"/>
    </row>
    <row r="240" spans="12:12">
      <c r="L240" s="737"/>
    </row>
    <row r="241" spans="12:12">
      <c r="L241" s="737"/>
    </row>
    <row r="242" spans="12:12">
      <c r="L242" s="737"/>
    </row>
    <row r="243" spans="12:12">
      <c r="L243" s="737"/>
    </row>
    <row r="244" spans="12:12">
      <c r="L244" s="737"/>
    </row>
    <row r="245" spans="12:12">
      <c r="L245" s="737"/>
    </row>
    <row r="246" spans="12:12">
      <c r="L246" s="737"/>
    </row>
    <row r="247" spans="12:12">
      <c r="L247" s="737"/>
    </row>
    <row r="248" spans="12:12">
      <c r="L248" s="737"/>
    </row>
    <row r="249" spans="12:12">
      <c r="L249" s="737"/>
    </row>
    <row r="250" spans="12:12">
      <c r="L250" s="737"/>
    </row>
    <row r="251" spans="12:12">
      <c r="L251" s="737"/>
    </row>
    <row r="252" spans="12:12">
      <c r="L252" s="737"/>
    </row>
    <row r="253" spans="12:12">
      <c r="L253" s="737"/>
    </row>
    <row r="254" spans="12:12">
      <c r="L254" s="737"/>
    </row>
    <row r="255" spans="12:12">
      <c r="L255" s="737"/>
    </row>
    <row r="256" spans="12:12">
      <c r="L256" s="737"/>
    </row>
    <row r="257" spans="12:12">
      <c r="L257" s="737"/>
    </row>
    <row r="258" spans="12:12">
      <c r="L258" s="737"/>
    </row>
    <row r="259" spans="12:12">
      <c r="L259" s="737"/>
    </row>
    <row r="260" spans="12:12">
      <c r="L260" s="737"/>
    </row>
    <row r="261" spans="12:12">
      <c r="L261" s="737"/>
    </row>
    <row r="262" spans="12:12">
      <c r="L262" s="737"/>
    </row>
  </sheetData>
  <mergeCells count="2">
    <mergeCell ref="AB5:AD5"/>
    <mergeCell ref="Z9:AI9"/>
  </mergeCells>
  <printOptions horizontalCentered="1"/>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1 AI63 AI66 AI69:AI70 AI52 AI54 AI55 AI51 AI68 AI78" unlockedFormula="1"/>
    <ignoredError sqref="I51 K51" formulaRange="1"/>
    <ignoredError sqref="AI48 AI46 AI47" formula="1" unlockedFormula="1"/>
    <ignoredError sqref="AI2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09"/>
  <sheetViews>
    <sheetView showGridLines="0" zoomScale="90" zoomScaleNormal="80" workbookViewId="0"/>
  </sheetViews>
  <sheetFormatPr defaultColWidth="8.69140625" defaultRowHeight="15.5"/>
  <cols>
    <col min="1" max="1" width="2.53515625" style="23" customWidth="1"/>
    <col min="2" max="2" width="15.69140625" style="23" customWidth="1"/>
    <col min="3" max="3" width="25.07421875" style="23" customWidth="1"/>
    <col min="4" max="4" width="2" style="23" customWidth="1"/>
    <col min="5" max="5" width="12.53515625" style="23" customWidth="1"/>
    <col min="6" max="6" width="1.69140625" style="23" customWidth="1"/>
    <col min="7" max="7" width="11.69140625" style="23" bestFit="1" customWidth="1"/>
    <col min="8" max="8" width="1.69140625" style="23" customWidth="1"/>
    <col min="9" max="9" width="11.4609375" style="23" bestFit="1" customWidth="1"/>
    <col min="10" max="10" width="1.69140625" style="23" customWidth="1"/>
    <col min="11" max="11" width="11.69140625" style="23" bestFit="1" customWidth="1"/>
    <col min="12" max="12" width="1.07421875" style="23" customWidth="1"/>
    <col min="13" max="13" width="10.53515625" style="23" customWidth="1"/>
    <col min="14" max="14" width="1.69140625" style="23" customWidth="1"/>
    <col min="15" max="15" width="12.4609375" style="23" customWidth="1"/>
    <col min="16" max="16" width="1.69140625" style="23" customWidth="1"/>
    <col min="17" max="17" width="12.07421875" style="23" customWidth="1"/>
    <col min="18" max="18" width="1.69140625" style="23" customWidth="1"/>
    <col min="19" max="19" width="12.07421875" style="23" customWidth="1"/>
    <col min="20" max="20" width="1.69140625" style="23" customWidth="1"/>
    <col min="21" max="21" width="10.69140625" style="23" customWidth="1"/>
    <col min="22" max="22" width="1.69140625" style="23" customWidth="1"/>
    <col min="23" max="23" width="13.69140625" style="23" customWidth="1"/>
    <col min="24" max="24" width="1.69140625" style="23" customWidth="1"/>
    <col min="25" max="25" width="12.69140625" style="23" customWidth="1"/>
    <col min="26" max="26" width="1.69140625" style="23" customWidth="1"/>
    <col min="27" max="27" width="11.69140625" style="23" customWidth="1"/>
    <col min="28" max="28" width="1.4609375" style="23" customWidth="1"/>
    <col min="29" max="29" width="14.07421875" style="23" customWidth="1"/>
    <col min="30" max="31" width="1.07421875" style="23" customWidth="1"/>
    <col min="32" max="32" width="12.69140625" style="23" customWidth="1"/>
    <col min="33" max="34" width="1.07421875" style="23" customWidth="1"/>
    <col min="35" max="35" width="12.69140625" style="23" customWidth="1"/>
    <col min="36" max="37" width="1.07421875" style="23" customWidth="1"/>
    <col min="38" max="38" width="12.69140625" style="23" customWidth="1"/>
    <col min="39" max="39" width="1.07421875" style="23" customWidth="1"/>
    <col min="40" max="40" width="12.69140625" style="23" customWidth="1"/>
    <col min="41" max="16384" width="8.69140625" style="23"/>
  </cols>
  <sheetData>
    <row r="1" spans="1:41">
      <c r="B1" s="275" t="s">
        <v>97</v>
      </c>
    </row>
    <row r="2" spans="1:41">
      <c r="B2" s="364"/>
    </row>
    <row r="3" spans="1:41"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N3" s="111" t="s">
        <v>561</v>
      </c>
    </row>
    <row r="4" spans="1:41" ht="19.5" customHeight="1">
      <c r="A4" s="89"/>
      <c r="B4" s="51" t="s">
        <v>562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D4" s="91"/>
      <c r="AE4" s="91"/>
      <c r="AG4" s="92"/>
      <c r="AH4" s="92"/>
    </row>
    <row r="5" spans="1:41" ht="19.5" customHeight="1">
      <c r="A5" s="89"/>
      <c r="B5" s="86" t="s">
        <v>452</v>
      </c>
      <c r="C5" s="90"/>
      <c r="D5" s="90"/>
      <c r="E5" s="90"/>
      <c r="F5" s="91"/>
      <c r="G5" s="91"/>
      <c r="H5" s="91"/>
      <c r="I5" s="91"/>
      <c r="J5" s="91"/>
      <c r="K5" s="91"/>
      <c r="L5" s="91"/>
      <c r="M5" s="91"/>
      <c r="N5" s="91"/>
      <c r="O5" s="91"/>
      <c r="P5" s="91"/>
      <c r="Q5" s="91"/>
      <c r="R5" s="91"/>
      <c r="S5" s="91" t="s">
        <v>103</v>
      </c>
      <c r="T5" s="91"/>
      <c r="U5" s="91" t="s">
        <v>103</v>
      </c>
      <c r="V5" s="91"/>
      <c r="W5" s="91"/>
      <c r="X5" s="91"/>
      <c r="Y5" s="91"/>
      <c r="Z5" s="91"/>
      <c r="AA5" s="91"/>
      <c r="AB5" s="91"/>
      <c r="AC5" s="91"/>
      <c r="AD5" s="91"/>
      <c r="AE5" s="91"/>
      <c r="AF5" s="91"/>
      <c r="AG5" s="91"/>
      <c r="AH5" s="91"/>
      <c r="AI5" s="91"/>
      <c r="AJ5" s="91"/>
      <c r="AK5" s="91"/>
      <c r="AN5" s="76"/>
    </row>
    <row r="6" spans="1:41" ht="19.5" customHeight="1">
      <c r="A6" s="89"/>
      <c r="B6" s="551" t="str">
        <f>'Cashflow Governmental'!A6</f>
        <v>FISCAL YEAR 2024-2025</v>
      </c>
      <c r="C6" s="90"/>
      <c r="D6" s="90"/>
      <c r="E6" s="90"/>
      <c r="F6" s="91"/>
      <c r="G6" s="91"/>
      <c r="H6" s="1162"/>
      <c r="I6" s="91"/>
      <c r="J6" s="91"/>
      <c r="K6" s="91"/>
      <c r="L6" s="91"/>
      <c r="M6" s="91"/>
      <c r="N6" s="91"/>
      <c r="O6" s="91"/>
      <c r="P6" s="91"/>
      <c r="Q6" s="91"/>
      <c r="R6" s="91"/>
      <c r="S6" s="91" t="s">
        <v>103</v>
      </c>
      <c r="T6" s="91"/>
      <c r="U6" s="91"/>
      <c r="V6" s="91"/>
      <c r="W6" s="91"/>
      <c r="X6" s="91"/>
      <c r="Y6" s="91"/>
      <c r="Z6" s="91"/>
      <c r="AA6" s="91"/>
      <c r="AB6" s="91"/>
      <c r="AC6" s="91"/>
      <c r="AD6" s="91"/>
      <c r="AE6" s="91"/>
      <c r="AF6" s="91"/>
      <c r="AG6" s="93"/>
      <c r="AH6" s="93"/>
      <c r="AI6" s="93"/>
      <c r="AJ6" s="93"/>
      <c r="AK6" s="93"/>
    </row>
    <row r="7" spans="1:41" ht="19.5" customHeight="1">
      <c r="A7" s="89"/>
      <c r="B7" s="51" t="s">
        <v>563</v>
      </c>
      <c r="C7" s="90"/>
      <c r="D7" s="90"/>
      <c r="E7" s="90"/>
      <c r="F7" s="91"/>
      <c r="G7" s="91"/>
      <c r="H7" s="1162"/>
      <c r="I7" s="91"/>
      <c r="J7" s="91"/>
      <c r="K7" s="91"/>
      <c r="L7" s="91"/>
      <c r="M7" s="91"/>
      <c r="N7" s="91"/>
      <c r="O7" s="91"/>
      <c r="P7" s="91"/>
      <c r="Q7" s="91"/>
      <c r="R7" s="91"/>
      <c r="S7" s="91" t="s">
        <v>103</v>
      </c>
      <c r="T7" s="91"/>
      <c r="U7" s="91"/>
      <c r="V7" s="91"/>
      <c r="W7" s="91"/>
      <c r="X7" s="91"/>
      <c r="Y7" s="91"/>
      <c r="Z7" s="91"/>
      <c r="AA7" s="91"/>
      <c r="AB7" s="91"/>
      <c r="AC7" s="91"/>
      <c r="AD7" s="91"/>
      <c r="AE7" s="91"/>
      <c r="AF7" s="91"/>
      <c r="AG7" s="93"/>
      <c r="AH7" s="93"/>
      <c r="AI7" s="93"/>
      <c r="AJ7" s="93"/>
      <c r="AK7" s="93"/>
    </row>
    <row r="8" spans="1:41" ht="19.5" customHeight="1">
      <c r="A8" s="89"/>
      <c r="C8" s="90"/>
      <c r="D8" s="90"/>
      <c r="E8" s="90"/>
      <c r="F8" s="91"/>
      <c r="G8" s="91"/>
      <c r="H8" s="91"/>
      <c r="I8" s="91"/>
      <c r="J8" s="91"/>
      <c r="K8" s="91"/>
      <c r="L8" s="91"/>
      <c r="M8" s="91"/>
      <c r="N8" s="91"/>
      <c r="O8" s="91"/>
      <c r="P8" s="91"/>
      <c r="Q8" s="91"/>
      <c r="R8" s="91"/>
      <c r="S8" s="91" t="s">
        <v>103</v>
      </c>
      <c r="T8" s="91"/>
      <c r="U8" s="91"/>
      <c r="V8" s="91"/>
      <c r="W8" s="91"/>
      <c r="X8" s="91"/>
      <c r="Y8" s="91"/>
      <c r="Z8" s="91"/>
      <c r="AA8" s="91"/>
      <c r="AB8" s="91"/>
      <c r="AC8" s="91"/>
      <c r="AD8" s="91"/>
      <c r="AE8" s="94"/>
    </row>
    <row r="9" spans="1:41" ht="15.75" customHeight="1">
      <c r="A9" s="89"/>
      <c r="B9" s="95"/>
      <c r="C9" s="90"/>
      <c r="D9" s="90"/>
      <c r="E9" s="1228"/>
      <c r="F9" s="332"/>
      <c r="G9" s="332"/>
      <c r="H9" s="332"/>
      <c r="I9" s="332"/>
      <c r="J9" s="332"/>
      <c r="K9" s="332"/>
      <c r="L9" s="332"/>
      <c r="M9" s="332"/>
      <c r="N9" s="332"/>
      <c r="O9" s="332"/>
      <c r="P9" s="332"/>
      <c r="Q9" s="332"/>
      <c r="R9" s="332"/>
      <c r="S9" s="332"/>
      <c r="T9" s="332"/>
      <c r="U9" s="332"/>
      <c r="V9" s="332"/>
      <c r="W9" s="332"/>
      <c r="X9" s="332"/>
      <c r="Y9" s="332"/>
      <c r="Z9" s="332"/>
      <c r="AA9" s="332"/>
      <c r="AB9" s="332"/>
      <c r="AC9" s="55" t="s">
        <v>483</v>
      </c>
      <c r="AD9" s="332"/>
      <c r="AE9" s="2124" t="str">
        <f>'Cashflow Governmental'!$AB$12</f>
        <v>11 Months Ended February 28</v>
      </c>
      <c r="AF9" s="2124"/>
      <c r="AG9" s="2124"/>
      <c r="AH9" s="2124"/>
      <c r="AI9" s="2124"/>
      <c r="AJ9" s="2124"/>
      <c r="AK9" s="2124"/>
      <c r="AL9" s="2124"/>
      <c r="AM9" s="2124"/>
      <c r="AN9" s="2124"/>
    </row>
    <row r="10" spans="1:41"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55" t="s">
        <v>484</v>
      </c>
      <c r="AD10" s="333"/>
      <c r="AE10" s="333"/>
      <c r="AF10" s="333"/>
      <c r="AG10" s="333"/>
      <c r="AH10" s="333"/>
      <c r="AI10" s="333"/>
      <c r="AJ10" s="333"/>
      <c r="AK10" s="333"/>
      <c r="AL10" s="330" t="s">
        <v>110</v>
      </c>
      <c r="AM10" s="330"/>
      <c r="AN10" s="328" t="s">
        <v>111</v>
      </c>
      <c r="AO10" s="3"/>
    </row>
    <row r="11" spans="1:41" ht="15.75" customHeight="1">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55"/>
      <c r="AC11" s="1249" t="s">
        <v>485</v>
      </c>
      <c r="AD11" s="3"/>
      <c r="AE11" s="3"/>
      <c r="AF11" s="1249" t="str">
        <f>'Cashflow Governmental'!AB14</f>
        <v>2025</v>
      </c>
      <c r="AG11" s="3"/>
      <c r="AH11" s="3"/>
      <c r="AI11" s="1249" t="str">
        <f>'Cashflow Governmental'!AE14</f>
        <v>2024</v>
      </c>
      <c r="AJ11" s="55"/>
      <c r="AK11" s="55"/>
      <c r="AL11" s="426" t="s">
        <v>112</v>
      </c>
      <c r="AM11" s="330"/>
      <c r="AN11" s="426" t="s">
        <v>113</v>
      </c>
      <c r="AO11" s="3"/>
    </row>
    <row r="12" spans="1:41" ht="6"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278"/>
      <c r="AJ12" s="278"/>
      <c r="AK12" s="40"/>
    </row>
    <row r="13" spans="1:41" ht="15.75" customHeight="1">
      <c r="A13" s="301"/>
      <c r="B13" s="1248" t="s">
        <v>564</v>
      </c>
      <c r="C13" s="3"/>
      <c r="D13" s="301"/>
      <c r="E13" s="87">
        <f>'Exhibit I State'!E13+'Exhibit I Federal'!E13</f>
        <v>-1318.1</v>
      </c>
      <c r="F13" s="20"/>
      <c r="G13" s="20">
        <f>E100</f>
        <v>-1189.7</v>
      </c>
      <c r="H13" s="20"/>
      <c r="I13" s="20">
        <f>G100</f>
        <v>-1430.8</v>
      </c>
      <c r="J13" s="20"/>
      <c r="K13" s="20">
        <f>I100</f>
        <v>-1266.9000000000001</v>
      </c>
      <c r="L13" s="20"/>
      <c r="M13" s="20">
        <f>K100</f>
        <v>-1552.7</v>
      </c>
      <c r="N13" s="20"/>
      <c r="O13" s="20">
        <f>M100</f>
        <v>-1844.4</v>
      </c>
      <c r="P13" s="20"/>
      <c r="Q13" s="20">
        <f>O100</f>
        <v>-1648.9</v>
      </c>
      <c r="R13" s="20"/>
      <c r="S13" s="20">
        <f>Q100</f>
        <v>-2013.2</v>
      </c>
      <c r="T13" s="20"/>
      <c r="U13" s="20">
        <f>S100</f>
        <v>-2153</v>
      </c>
      <c r="V13" s="20"/>
      <c r="W13" s="20">
        <f>U100</f>
        <v>-2401.6999999999998</v>
      </c>
      <c r="X13" s="20"/>
      <c r="Y13" s="20">
        <f>W100</f>
        <v>-2552.1</v>
      </c>
      <c r="Z13" s="20"/>
      <c r="AA13" s="20"/>
      <c r="AB13" s="20"/>
      <c r="AC13" s="20">
        <v>0</v>
      </c>
      <c r="AD13" s="20"/>
      <c r="AE13" s="21"/>
      <c r="AF13" s="20">
        <f>E13</f>
        <v>-1318.1</v>
      </c>
      <c r="AG13" s="1273"/>
      <c r="AH13" s="20"/>
      <c r="AI13" s="2078">
        <f>'Exhibit I State'!AG13+'Exhibit I Federal'!AG13</f>
        <v>-1594.5</v>
      </c>
      <c r="AJ13" s="20"/>
      <c r="AK13" s="99"/>
      <c r="AL13" s="98">
        <f>+AF13-AI13</f>
        <v>276.40000000000009</v>
      </c>
      <c r="AM13" s="20"/>
      <c r="AN13" s="291">
        <f>ROUND(IF(AI13=0,0,-AL13/(AI13)),3)</f>
        <v>0.17299999999999999</v>
      </c>
      <c r="AO13" s="3"/>
    </row>
    <row r="14" spans="1:41" ht="15.75" customHeight="1">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681"/>
      <c r="AF14" s="278"/>
      <c r="AG14" s="1274"/>
      <c r="AH14" s="278"/>
      <c r="AI14" s="278"/>
      <c r="AJ14" s="278"/>
      <c r="AK14" s="97"/>
    </row>
    <row r="15" spans="1:41">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681"/>
      <c r="AF15" s="278"/>
      <c r="AG15" s="1274"/>
      <c r="AH15" s="278"/>
      <c r="AI15" s="278"/>
      <c r="AJ15" s="278"/>
      <c r="AK15" s="97"/>
    </row>
    <row r="16" spans="1:41">
      <c r="A16" s="301"/>
      <c r="B16" s="1248"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681"/>
      <c r="AF16" s="278"/>
      <c r="AG16" s="1274"/>
      <c r="AH16" s="278"/>
      <c r="AI16" s="278"/>
      <c r="AJ16" s="278"/>
      <c r="AK16" s="97"/>
    </row>
    <row r="17" spans="1:46">
      <c r="A17" s="301"/>
      <c r="B17" s="423" t="s">
        <v>361</v>
      </c>
      <c r="C17" s="301"/>
      <c r="D17" s="301"/>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681"/>
      <c r="AF17" s="278"/>
      <c r="AG17" s="1274"/>
      <c r="AH17" s="278"/>
      <c r="AI17" s="278"/>
      <c r="AJ17" s="278"/>
      <c r="AK17" s="97"/>
    </row>
    <row r="18" spans="1:46">
      <c r="A18" s="301"/>
      <c r="B18" s="294" t="s">
        <v>363</v>
      </c>
      <c r="C18" s="301"/>
      <c r="D18" s="301"/>
      <c r="E18" s="523">
        <f>+'Exhibit I State'!E18</f>
        <v>5.9</v>
      </c>
      <c r="F18" s="523"/>
      <c r="G18" s="523">
        <f>+'Exhibit I State'!G18</f>
        <v>0.19999999999999929</v>
      </c>
      <c r="H18" s="523"/>
      <c r="I18" s="523">
        <f>+'Exhibit I State'!I18</f>
        <v>22.400000000000002</v>
      </c>
      <c r="J18" s="274"/>
      <c r="K18" s="523">
        <f>+'Exhibit I State'!K18</f>
        <v>0.10000000000000142</v>
      </c>
      <c r="L18" s="752"/>
      <c r="M18" s="523">
        <f>+'Exhibit I State'!M18</f>
        <v>0</v>
      </c>
      <c r="N18" s="752"/>
      <c r="O18" s="523">
        <f>+'Exhibit I State'!O18</f>
        <v>32.1</v>
      </c>
      <c r="P18" s="523"/>
      <c r="Q18" s="523">
        <v>0.29999999999999716</v>
      </c>
      <c r="R18" s="752"/>
      <c r="S18" s="523">
        <v>0</v>
      </c>
      <c r="T18" s="523"/>
      <c r="U18" s="523">
        <v>26.5</v>
      </c>
      <c r="V18" s="523"/>
      <c r="W18" s="523">
        <v>0.20000000000000284</v>
      </c>
      <c r="X18" s="523"/>
      <c r="Y18" s="523">
        <f>+'Exhibit I State'!Y18</f>
        <v>9.9999999999994316E-2</v>
      </c>
      <c r="Z18" s="523"/>
      <c r="AA18" s="523"/>
      <c r="AB18" s="523"/>
      <c r="AC18" s="523">
        <v>0</v>
      </c>
      <c r="AD18" s="1269"/>
      <c r="AE18" s="752"/>
      <c r="AF18" s="274">
        <f>ROUND(SUM(E18:AC18),1)</f>
        <v>87.8</v>
      </c>
      <c r="AG18" s="1270"/>
      <c r="AH18" s="920"/>
      <c r="AI18" s="963">
        <f>+'Exhibit I State'!AG18</f>
        <v>86.1</v>
      </c>
      <c r="AJ18" s="921"/>
      <c r="AK18" s="922"/>
      <c r="AL18" s="963">
        <f>ROUND(SUM(AF18-AI18),1)</f>
        <v>1.7</v>
      </c>
      <c r="AM18" s="752"/>
      <c r="AN18" s="553">
        <f>ROUND(IF(AI18=0,0,AL18/ABS(AI18)),3)</f>
        <v>0.02</v>
      </c>
      <c r="AO18" s="216"/>
    </row>
    <row r="19" spans="1:46">
      <c r="A19" s="301"/>
      <c r="B19" s="294" t="s">
        <v>366</v>
      </c>
      <c r="C19" s="301"/>
      <c r="D19" s="301"/>
      <c r="E19" s="523">
        <f>+'Exhibit I State'!E19</f>
        <v>29.6</v>
      </c>
      <c r="F19" s="523"/>
      <c r="G19" s="523">
        <f>+'Exhibit I State'!G19</f>
        <v>29.199999999999996</v>
      </c>
      <c r="H19" s="523"/>
      <c r="I19" s="523">
        <f>+'Exhibit I State'!I19</f>
        <v>35.300000000000004</v>
      </c>
      <c r="J19" s="274"/>
      <c r="K19" s="523">
        <f>+'Exhibit I State'!K19</f>
        <v>33.000000000000007</v>
      </c>
      <c r="L19" s="752"/>
      <c r="M19" s="523">
        <f>+'Exhibit I State'!M19</f>
        <v>35.9</v>
      </c>
      <c r="N19" s="752"/>
      <c r="O19" s="523">
        <f>+'Exhibit I State'!O19</f>
        <v>33.6</v>
      </c>
      <c r="P19" s="752"/>
      <c r="Q19" s="523">
        <v>32.199999999999989</v>
      </c>
      <c r="R19" s="752"/>
      <c r="S19" s="523">
        <v>33.700000000000017</v>
      </c>
      <c r="T19" s="523"/>
      <c r="U19" s="523">
        <v>30.300000000000011</v>
      </c>
      <c r="V19" s="523"/>
      <c r="W19" s="523">
        <v>28.899999999999977</v>
      </c>
      <c r="X19" s="523"/>
      <c r="Y19" s="523">
        <f>+'Exhibit I State'!Y19</f>
        <v>31.199999999999989</v>
      </c>
      <c r="Z19" s="523"/>
      <c r="AA19" s="523"/>
      <c r="AB19" s="523"/>
      <c r="AC19" s="523">
        <v>0</v>
      </c>
      <c r="AD19" s="1269"/>
      <c r="AE19" s="752"/>
      <c r="AF19" s="274">
        <f>ROUND(SUM(E19:AC19),1)</f>
        <v>352.9</v>
      </c>
      <c r="AG19" s="1270"/>
      <c r="AH19" s="920"/>
      <c r="AI19" s="963">
        <f>+'Exhibit I State'!AG19</f>
        <v>353.8</v>
      </c>
      <c r="AJ19" s="921"/>
      <c r="AK19" s="922"/>
      <c r="AL19" s="963">
        <f>ROUND(SUM(AF19-AI19),1)</f>
        <v>-0.9</v>
      </c>
      <c r="AM19" s="752"/>
      <c r="AN19" s="384">
        <f>ROUND(IF(AI19=0,0,AL19/ABS(AI19)),3)</f>
        <v>-3.0000000000000001E-3</v>
      </c>
      <c r="AO19" s="216"/>
    </row>
    <row r="20" spans="1:46">
      <c r="A20" s="301"/>
      <c r="B20" s="294" t="s">
        <v>369</v>
      </c>
      <c r="C20" s="301"/>
      <c r="D20" s="301"/>
      <c r="E20" s="523">
        <f>+'Exhibit I State'!E20</f>
        <v>13.5</v>
      </c>
      <c r="F20" s="523"/>
      <c r="G20" s="523">
        <f>+'Exhibit I State'!G20</f>
        <v>11.299999999999997</v>
      </c>
      <c r="H20" s="523"/>
      <c r="I20" s="523">
        <f>+'Exhibit I State'!I20</f>
        <v>8</v>
      </c>
      <c r="J20" s="274"/>
      <c r="K20" s="523">
        <f>+'Exhibit I State'!K20</f>
        <v>13.700000000000003</v>
      </c>
      <c r="L20" s="752"/>
      <c r="M20" s="523">
        <f>+'Exhibit I State'!M20</f>
        <v>9.5</v>
      </c>
      <c r="N20" s="752"/>
      <c r="O20" s="523">
        <f>+'Exhibit I State'!O20</f>
        <v>9.7999999999999972</v>
      </c>
      <c r="P20" s="752"/>
      <c r="Q20" s="523">
        <v>12.5</v>
      </c>
      <c r="R20" s="752"/>
      <c r="S20" s="523">
        <v>9</v>
      </c>
      <c r="T20" s="523"/>
      <c r="U20" s="523">
        <v>9.9000000000000057</v>
      </c>
      <c r="V20" s="523"/>
      <c r="W20" s="523">
        <v>19</v>
      </c>
      <c r="X20" s="523"/>
      <c r="Y20" s="523">
        <f>+'Exhibit I State'!Y20</f>
        <v>12.499999999999986</v>
      </c>
      <c r="Z20" s="523"/>
      <c r="AA20" s="523"/>
      <c r="AB20" s="523"/>
      <c r="AC20" s="523">
        <v>0</v>
      </c>
      <c r="AD20" s="1269"/>
      <c r="AE20" s="752"/>
      <c r="AF20" s="274">
        <f>ROUND(SUM(E20:AC20),1)</f>
        <v>128.69999999999999</v>
      </c>
      <c r="AG20" s="1270"/>
      <c r="AH20" s="920"/>
      <c r="AI20" s="963">
        <f>+'Exhibit I State'!AG20</f>
        <v>131.19999999999999</v>
      </c>
      <c r="AJ20" s="921"/>
      <c r="AK20" s="922"/>
      <c r="AL20" s="963">
        <f>ROUND(SUM(AF20-AI20),1)</f>
        <v>-2.5</v>
      </c>
      <c r="AM20" s="752"/>
      <c r="AN20" s="553">
        <f>ROUND(IF(AI20=0,0,AL20/ABS(AI20)),3)</f>
        <v>-1.9E-2</v>
      </c>
      <c r="AO20" s="216"/>
    </row>
    <row r="21" spans="1:46">
      <c r="A21" s="301"/>
      <c r="B21" s="88" t="s">
        <v>566</v>
      </c>
      <c r="C21" s="301"/>
      <c r="D21" s="301"/>
      <c r="E21" s="72">
        <f>ROUND(SUM(E18:E20),1)</f>
        <v>49</v>
      </c>
      <c r="F21" s="13"/>
      <c r="G21" s="72">
        <f>ROUND(SUM(G18:G20),1)</f>
        <v>40.700000000000003</v>
      </c>
      <c r="H21" s="13"/>
      <c r="I21" s="72">
        <f>ROUND(SUM(I18:I20),1)</f>
        <v>65.7</v>
      </c>
      <c r="J21" s="13"/>
      <c r="K21" s="72">
        <f>ROUND(SUM(K18:K20),1)</f>
        <v>46.8</v>
      </c>
      <c r="L21" s="752"/>
      <c r="M21" s="72">
        <f>ROUND(SUM(M18:M20),1)</f>
        <v>45.4</v>
      </c>
      <c r="N21" s="752"/>
      <c r="O21" s="72">
        <f>ROUND(SUM(O18:O20),1)</f>
        <v>75.5</v>
      </c>
      <c r="P21" s="752"/>
      <c r="Q21" s="72">
        <f>ROUND(SUM(Q18:Q20),1)</f>
        <v>45</v>
      </c>
      <c r="R21" s="752"/>
      <c r="S21" s="72">
        <f>ROUND(SUM(S18:S20),1)</f>
        <v>42.7</v>
      </c>
      <c r="T21" s="752"/>
      <c r="U21" s="72">
        <f>ROUND(SUM(U18:U20),1)</f>
        <v>66.7</v>
      </c>
      <c r="V21" s="752"/>
      <c r="W21" s="72">
        <f>ROUND(SUM(W18:W20),1)</f>
        <v>48.1</v>
      </c>
      <c r="X21" s="752"/>
      <c r="Y21" s="72">
        <f>ROUND(SUM(Y18:Y20),1)</f>
        <v>43.8</v>
      </c>
      <c r="Z21" s="752"/>
      <c r="AA21" s="72">
        <f>ROUND(SUM(AA18:AA20),1)</f>
        <v>0</v>
      </c>
      <c r="AB21" s="13"/>
      <c r="AC21" s="72">
        <f>ROUND(SUM(AC18:AC20),1)</f>
        <v>0</v>
      </c>
      <c r="AD21" s="1269"/>
      <c r="AE21" s="752"/>
      <c r="AF21" s="72">
        <f>ROUND(SUM(AF18:AF20),1)</f>
        <v>569.4</v>
      </c>
      <c r="AG21" s="1270"/>
      <c r="AH21" s="920"/>
      <c r="AI21" s="72">
        <f>ROUND(SUM(AI18:AI20),1)</f>
        <v>571.1</v>
      </c>
      <c r="AJ21" s="921"/>
      <c r="AK21" s="922"/>
      <c r="AL21" s="1127">
        <f>ROUND(SUM(AF21-AI21),1)</f>
        <v>-1.7</v>
      </c>
      <c r="AM21" s="88"/>
      <c r="AN21" s="1102">
        <f>ROUND(IF(AI21=0,0,AL21/ABS(AI21)),3)</f>
        <v>-3.0000000000000001E-3</v>
      </c>
      <c r="AO21" s="216"/>
    </row>
    <row r="22" spans="1:46">
      <c r="A22" s="301"/>
      <c r="B22" s="423" t="s">
        <v>373</v>
      </c>
      <c r="C22" s="301"/>
      <c r="D22" s="301"/>
      <c r="E22" s="13"/>
      <c r="F22" s="13"/>
      <c r="G22" s="13"/>
      <c r="H22" s="13"/>
      <c r="I22" s="13"/>
      <c r="J22" s="13"/>
      <c r="K22" s="13"/>
      <c r="L22" s="752"/>
      <c r="M22" s="13"/>
      <c r="N22" s="752"/>
      <c r="O22" s="13"/>
      <c r="P22" s="752"/>
      <c r="Q22" s="13"/>
      <c r="R22" s="752"/>
      <c r="S22" s="13"/>
      <c r="T22" s="752"/>
      <c r="U22" s="13"/>
      <c r="V22" s="752"/>
      <c r="W22" s="13"/>
      <c r="X22" s="752"/>
      <c r="Y22" s="13"/>
      <c r="Z22" s="752"/>
      <c r="AA22" s="13"/>
      <c r="AB22" s="13"/>
      <c r="AC22" s="13"/>
      <c r="AD22" s="1269"/>
      <c r="AE22" s="752"/>
      <c r="AF22" s="13"/>
      <c r="AG22" s="1270"/>
      <c r="AH22" s="920"/>
      <c r="AI22" s="13"/>
      <c r="AJ22" s="921"/>
      <c r="AK22" s="922"/>
      <c r="AL22" s="424"/>
      <c r="AM22" s="88"/>
      <c r="AN22" s="2"/>
      <c r="AO22" s="216"/>
    </row>
    <row r="23" spans="1:46">
      <c r="A23" s="301"/>
      <c r="B23" s="294" t="s">
        <v>374</v>
      </c>
      <c r="C23" s="301"/>
      <c r="D23" s="301"/>
      <c r="E23" s="523">
        <f>+'Exhibit I State'!E23</f>
        <v>0</v>
      </c>
      <c r="F23" s="523"/>
      <c r="G23" s="523">
        <f>+'Exhibit I State'!G23</f>
        <v>0</v>
      </c>
      <c r="H23" s="523"/>
      <c r="I23" s="523">
        <f>+'Exhibit I State'!I23</f>
        <v>0</v>
      </c>
      <c r="J23" s="13"/>
      <c r="K23" s="523">
        <f>+'Exhibit I State'!K23</f>
        <v>0</v>
      </c>
      <c r="L23" s="752"/>
      <c r="M23" s="523">
        <f>+'Exhibit I State'!M23</f>
        <v>0</v>
      </c>
      <c r="N23" s="752"/>
      <c r="O23" s="523">
        <f>+'Exhibit I State'!O23</f>
        <v>0</v>
      </c>
      <c r="P23" s="752"/>
      <c r="Q23" s="523">
        <v>0</v>
      </c>
      <c r="R23" s="752"/>
      <c r="S23" s="523">
        <v>0</v>
      </c>
      <c r="T23" s="523"/>
      <c r="U23" s="523">
        <v>0</v>
      </c>
      <c r="V23" s="523"/>
      <c r="W23" s="523">
        <v>0</v>
      </c>
      <c r="X23" s="523"/>
      <c r="Y23" s="523">
        <f>+'Exhibit I State'!Y23</f>
        <v>0</v>
      </c>
      <c r="Z23" s="523"/>
      <c r="AA23" s="523"/>
      <c r="AB23" s="523"/>
      <c r="AC23" s="523">
        <v>0</v>
      </c>
      <c r="AD23" s="1269"/>
      <c r="AE23" s="752"/>
      <c r="AF23" s="274">
        <v>0</v>
      </c>
      <c r="AG23" s="1270"/>
      <c r="AH23" s="920"/>
      <c r="AI23" s="963">
        <f>+'Exhibit I State'!AG23</f>
        <v>0</v>
      </c>
      <c r="AJ23" s="921"/>
      <c r="AK23" s="922"/>
      <c r="AL23" s="963">
        <f>ROUND(SUM(AF23-AI23),1)</f>
        <v>0</v>
      </c>
      <c r="AM23" s="752"/>
      <c r="AN23" s="1087">
        <f>ROUND(IF(AI23=0,0,AL23/ABS(AI23)),3)</f>
        <v>0</v>
      </c>
      <c r="AO23" s="216"/>
      <c r="AP23" s="85"/>
      <c r="AQ23" s="85"/>
      <c r="AR23" s="85"/>
      <c r="AS23" s="85"/>
      <c r="AT23" s="85"/>
    </row>
    <row r="24" spans="1:46">
      <c r="A24" s="301"/>
      <c r="B24" s="294" t="s">
        <v>375</v>
      </c>
      <c r="C24" s="301"/>
      <c r="D24" s="301"/>
      <c r="E24" s="523">
        <f>+'Exhibit I State'!E24</f>
        <v>3.2</v>
      </c>
      <c r="F24" s="523"/>
      <c r="G24" s="523">
        <f>+'Exhibit I State'!G24</f>
        <v>0</v>
      </c>
      <c r="H24" s="523"/>
      <c r="I24" s="523">
        <f>+'Exhibit I State'!I24</f>
        <v>1.2999999999999998</v>
      </c>
      <c r="J24" s="13"/>
      <c r="K24" s="523">
        <f>+'Exhibit I State'!K24</f>
        <v>0</v>
      </c>
      <c r="L24" s="752"/>
      <c r="M24" s="523">
        <f>+'Exhibit I State'!M24</f>
        <v>-9.9999999999999645E-2</v>
      </c>
      <c r="N24" s="752"/>
      <c r="O24" s="523">
        <f>+'Exhibit I State'!O24</f>
        <v>1.5</v>
      </c>
      <c r="P24" s="752"/>
      <c r="Q24" s="523">
        <v>9.9999999999999645E-2</v>
      </c>
      <c r="R24" s="752"/>
      <c r="S24" s="523">
        <v>0</v>
      </c>
      <c r="T24" s="523"/>
      <c r="U24" s="523">
        <v>0.70000000000000018</v>
      </c>
      <c r="V24" s="523"/>
      <c r="W24" s="523">
        <v>9.9999999999999645E-2</v>
      </c>
      <c r="X24" s="523"/>
      <c r="Y24" s="523">
        <f>+'Exhibit I State'!Y24</f>
        <v>0.10000000000000053</v>
      </c>
      <c r="Z24" s="523"/>
      <c r="AA24" s="523"/>
      <c r="AB24" s="523"/>
      <c r="AC24" s="523">
        <v>0</v>
      </c>
      <c r="AD24" s="1269"/>
      <c r="AE24" s="752"/>
      <c r="AF24" s="274">
        <f>ROUND(SUM(E24:AC24),1)</f>
        <v>6.9</v>
      </c>
      <c r="AG24" s="1270"/>
      <c r="AH24" s="920"/>
      <c r="AI24" s="963">
        <f>+'Exhibit I State'!AG24</f>
        <v>12</v>
      </c>
      <c r="AJ24" s="921"/>
      <c r="AK24" s="922"/>
      <c r="AL24" s="963">
        <f>ROUND(SUM(AF24-AI24),1)</f>
        <v>-5.0999999999999996</v>
      </c>
      <c r="AM24" s="752"/>
      <c r="AN24" s="553">
        <f>ROUND(IF(AI24=0,1,AL24/ABS(AI24)),3)</f>
        <v>-0.42499999999999999</v>
      </c>
      <c r="AO24" s="216"/>
      <c r="AP24" s="85"/>
      <c r="AQ24" s="85"/>
      <c r="AR24" s="85"/>
      <c r="AS24" s="85"/>
      <c r="AT24" s="85"/>
    </row>
    <row r="25" spans="1:46">
      <c r="A25" s="301"/>
      <c r="B25" s="294" t="s">
        <v>379</v>
      </c>
      <c r="C25" s="301"/>
      <c r="D25" s="301"/>
      <c r="E25" s="523">
        <f>+'Exhibit I State'!E25</f>
        <v>46.2</v>
      </c>
      <c r="F25" s="523"/>
      <c r="G25" s="523">
        <f>+'Exhibit I State'!G25</f>
        <v>50.399999999999991</v>
      </c>
      <c r="H25" s="523"/>
      <c r="I25" s="523">
        <f>+'Exhibit I State'!I25</f>
        <v>54.900000000000006</v>
      </c>
      <c r="J25" s="13"/>
      <c r="K25" s="523">
        <f>+'Exhibit I State'!K25</f>
        <v>52.2</v>
      </c>
      <c r="L25" s="752"/>
      <c r="M25" s="523">
        <f>+'Exhibit I State'!M25</f>
        <v>56.600000000000037</v>
      </c>
      <c r="N25" s="752"/>
      <c r="O25" s="523">
        <f>+'Exhibit I State'!O25</f>
        <v>52.5</v>
      </c>
      <c r="P25" s="752"/>
      <c r="Q25" s="523">
        <v>49.599999999999966</v>
      </c>
      <c r="R25" s="752"/>
      <c r="S25" s="523">
        <v>52.000000000000057</v>
      </c>
      <c r="T25" s="523"/>
      <c r="U25" s="523">
        <v>48.099999999999966</v>
      </c>
      <c r="V25" s="523"/>
      <c r="W25" s="523">
        <v>43.5</v>
      </c>
      <c r="X25" s="523"/>
      <c r="Y25" s="523">
        <f>+'Exhibit I State'!Y25</f>
        <v>46.5</v>
      </c>
      <c r="Z25" s="523"/>
      <c r="AA25" s="523"/>
      <c r="AB25" s="523"/>
      <c r="AC25" s="523">
        <v>0</v>
      </c>
      <c r="AD25" s="1269"/>
      <c r="AE25" s="752"/>
      <c r="AF25" s="274">
        <f>ROUND(SUM(E25:AC25),1)</f>
        <v>552.5</v>
      </c>
      <c r="AG25" s="1270"/>
      <c r="AH25" s="920"/>
      <c r="AI25" s="963">
        <f>+'Exhibit I State'!AG25</f>
        <v>577.69999999999993</v>
      </c>
      <c r="AJ25" s="921"/>
      <c r="AK25" s="922"/>
      <c r="AL25" s="963">
        <f>ROUND(SUM(AF25-AI25),1)</f>
        <v>-25.2</v>
      </c>
      <c r="AM25" s="752"/>
      <c r="AN25" s="276">
        <f>ROUND(IF(AI25=0,0,AL25/ABS(AI25)),3)</f>
        <v>-4.3999999999999997E-2</v>
      </c>
      <c r="AO25" s="216"/>
      <c r="AP25" s="85"/>
      <c r="AQ25" s="85"/>
      <c r="AR25" s="85"/>
      <c r="AS25" s="85"/>
      <c r="AT25" s="85"/>
    </row>
    <row r="26" spans="1:46">
      <c r="A26" s="301"/>
      <c r="B26" s="88" t="s">
        <v>567</v>
      </c>
      <c r="C26" s="301"/>
      <c r="D26" s="301"/>
      <c r="E26" s="72">
        <f>ROUND(SUM(E23:E25),1)</f>
        <v>49.4</v>
      </c>
      <c r="F26" s="542"/>
      <c r="G26" s="72">
        <f>ROUND(SUM(G23:G25),1)</f>
        <v>50.4</v>
      </c>
      <c r="H26" s="542"/>
      <c r="I26" s="72">
        <f>ROUND(SUM(I23:I25),1)</f>
        <v>56.2</v>
      </c>
      <c r="J26" s="13"/>
      <c r="K26" s="72">
        <f>ROUND(SUM(K23:K25),1)</f>
        <v>52.2</v>
      </c>
      <c r="L26" s="752"/>
      <c r="M26" s="72">
        <f>ROUND(SUM(M23:M25),1)</f>
        <v>56.5</v>
      </c>
      <c r="N26" s="752"/>
      <c r="O26" s="72">
        <f>ROUND(SUM(O23:O25),1)</f>
        <v>54</v>
      </c>
      <c r="P26" s="752"/>
      <c r="Q26" s="72">
        <f>ROUND(SUM(Q23:Q25),1)</f>
        <v>49.7</v>
      </c>
      <c r="R26" s="752"/>
      <c r="S26" s="72">
        <f>ROUND(SUM(S23:S25),1)</f>
        <v>52</v>
      </c>
      <c r="T26" s="752"/>
      <c r="U26" s="72">
        <f>ROUND(SUM(U23:U25),1)</f>
        <v>48.8</v>
      </c>
      <c r="V26" s="752"/>
      <c r="W26" s="72">
        <f>ROUND(SUM(W23:W25),1)</f>
        <v>43.6</v>
      </c>
      <c r="X26" s="752"/>
      <c r="Y26" s="72">
        <f>ROUND(SUM(Y23:Y25),1)</f>
        <v>46.6</v>
      </c>
      <c r="Z26" s="752"/>
      <c r="AA26" s="72">
        <f>ROUND(SUM(AA23:AA25),1)</f>
        <v>0</v>
      </c>
      <c r="AB26" s="13"/>
      <c r="AC26" s="72">
        <f>ROUND(SUM(AC23:AC25),1)</f>
        <v>0</v>
      </c>
      <c r="AD26" s="1269"/>
      <c r="AE26" s="752"/>
      <c r="AF26" s="72">
        <f>ROUND(SUM(AF23:AF25),1)</f>
        <v>559.4</v>
      </c>
      <c r="AG26" s="1270"/>
      <c r="AH26" s="920"/>
      <c r="AI26" s="72">
        <f>ROUND(SUM(AI23:AI25),1)</f>
        <v>589.70000000000005</v>
      </c>
      <c r="AJ26" s="921"/>
      <c r="AK26" s="922"/>
      <c r="AL26" s="72">
        <f>ROUND(SUM(AL23:AL25),1)</f>
        <v>-30.3</v>
      </c>
      <c r="AM26" s="752"/>
      <c r="AN26" s="548">
        <f>ROUND(IF(AI26=0,0,AL26/ABS(AI26)),3)</f>
        <v>-5.0999999999999997E-2</v>
      </c>
      <c r="AO26" s="216"/>
      <c r="AP26" s="85"/>
      <c r="AQ26" s="85"/>
      <c r="AR26" s="85"/>
      <c r="AS26" s="85"/>
      <c r="AT26" s="85"/>
    </row>
    <row r="27" spans="1:46">
      <c r="A27" s="301"/>
      <c r="B27" s="423" t="s">
        <v>381</v>
      </c>
      <c r="C27" s="301"/>
      <c r="D27" s="301"/>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681"/>
      <c r="AF27" s="278"/>
      <c r="AG27" s="1274"/>
      <c r="AH27" s="278"/>
      <c r="AI27" s="278"/>
      <c r="AJ27" s="278"/>
      <c r="AK27" s="97"/>
    </row>
    <row r="28" spans="1:46">
      <c r="A28" s="301"/>
      <c r="B28" s="294" t="s">
        <v>385</v>
      </c>
      <c r="C28" s="301"/>
      <c r="D28" s="301"/>
      <c r="E28" s="523">
        <f>+'Exhibit I State'!E28</f>
        <v>0</v>
      </c>
      <c r="F28" s="523"/>
      <c r="G28" s="523">
        <f>+'Exhibit I State'!G28</f>
        <v>0</v>
      </c>
      <c r="H28" s="523"/>
      <c r="I28" s="523">
        <f>+'Exhibit I State'!I28</f>
        <v>25.7</v>
      </c>
      <c r="J28" s="13"/>
      <c r="K28" s="523">
        <f>+'Exhibit I State'!K28</f>
        <v>25.8</v>
      </c>
      <c r="L28" s="752"/>
      <c r="M28" s="523">
        <f>+'Exhibit I State'!M28</f>
        <v>25.7</v>
      </c>
      <c r="N28" s="752"/>
      <c r="O28" s="523">
        <f>+'Exhibit I State'!O28</f>
        <v>25.700000000000006</v>
      </c>
      <c r="P28" s="752"/>
      <c r="Q28" s="523">
        <v>25.799999999999983</v>
      </c>
      <c r="R28" s="752"/>
      <c r="S28" s="523">
        <v>25.700000000000017</v>
      </c>
      <c r="T28" s="523"/>
      <c r="U28" s="523">
        <v>25.699999999999989</v>
      </c>
      <c r="V28" s="523"/>
      <c r="W28" s="523">
        <v>25.800000000000011</v>
      </c>
      <c r="X28" s="523"/>
      <c r="Y28" s="523">
        <f>+'Exhibit I State'!Y28</f>
        <v>25.699999999999989</v>
      </c>
      <c r="Z28" s="523"/>
      <c r="AA28" s="523"/>
      <c r="AB28" s="523"/>
      <c r="AC28" s="523">
        <v>0</v>
      </c>
      <c r="AD28" s="1269"/>
      <c r="AE28" s="752"/>
      <c r="AF28" s="274">
        <f>ROUND(SUM(E28:AC28),1)</f>
        <v>231.6</v>
      </c>
      <c r="AG28" s="1270"/>
      <c r="AH28" s="920"/>
      <c r="AI28" s="963">
        <f>+'Exhibit I State'!AG28</f>
        <v>231.6</v>
      </c>
      <c r="AJ28" s="921"/>
      <c r="AK28" s="922"/>
      <c r="AL28" s="963">
        <f>ROUND(SUM(AF28-AI28),1)</f>
        <v>0</v>
      </c>
      <c r="AM28" s="752"/>
      <c r="AN28" s="276">
        <f>ROUND(IF(AI28=0,0,AL28/ABS(AI28)),3)</f>
        <v>0</v>
      </c>
      <c r="AO28" s="216"/>
      <c r="AP28" s="85"/>
      <c r="AQ28" s="85"/>
      <c r="AR28" s="85"/>
    </row>
    <row r="29" spans="1:46">
      <c r="A29" s="301"/>
      <c r="B29" s="88" t="s">
        <v>568</v>
      </c>
      <c r="C29" s="301"/>
      <c r="D29" s="301"/>
      <c r="E29" s="72">
        <f>ROUND(SUM(E28:E28),1)</f>
        <v>0</v>
      </c>
      <c r="F29" s="13"/>
      <c r="G29" s="72">
        <f>ROUND(SUM(G28:G28),1)</f>
        <v>0</v>
      </c>
      <c r="H29" s="13"/>
      <c r="I29" s="72">
        <f>ROUND(SUM(I28:I28),1)</f>
        <v>25.7</v>
      </c>
      <c r="J29" s="13"/>
      <c r="K29" s="72">
        <f>ROUND(SUM(K28:K28),1)</f>
        <v>25.8</v>
      </c>
      <c r="L29" s="752"/>
      <c r="M29" s="72">
        <f>ROUND(SUM(M28:M28),1)</f>
        <v>25.7</v>
      </c>
      <c r="N29" s="752"/>
      <c r="O29" s="72">
        <f>ROUND(SUM(O28:O28),1)</f>
        <v>25.7</v>
      </c>
      <c r="P29" s="752"/>
      <c r="Q29" s="72">
        <f>ROUND(SUM(Q28:Q28),1)</f>
        <v>25.8</v>
      </c>
      <c r="R29" s="752"/>
      <c r="S29" s="72">
        <f>ROUND(SUM(S28:S28),1)</f>
        <v>25.7</v>
      </c>
      <c r="T29" s="752"/>
      <c r="U29" s="72">
        <f>ROUND(SUM(U28:U28),1)</f>
        <v>25.7</v>
      </c>
      <c r="V29" s="752"/>
      <c r="W29" s="72">
        <f>ROUND(SUM(W28:W28),1)</f>
        <v>25.8</v>
      </c>
      <c r="X29" s="752"/>
      <c r="Y29" s="72">
        <f>ROUND(SUM(Y28:Y28),1)</f>
        <v>25.7</v>
      </c>
      <c r="Z29" s="752"/>
      <c r="AA29" s="72">
        <f>ROUND(SUM(AA28:AA28),1)</f>
        <v>0</v>
      </c>
      <c r="AB29" s="13"/>
      <c r="AC29" s="72">
        <f>ROUND(SUM(AC28:AC28),1)</f>
        <v>0</v>
      </c>
      <c r="AD29" s="1269"/>
      <c r="AE29" s="752"/>
      <c r="AF29" s="72">
        <f>ROUND(SUM(AF28:AF28),1)</f>
        <v>231.6</v>
      </c>
      <c r="AG29" s="1270"/>
      <c r="AH29" s="920"/>
      <c r="AI29" s="72">
        <f>ROUND(SUM(AI28:AI28),1)</f>
        <v>231.6</v>
      </c>
      <c r="AJ29" s="921"/>
      <c r="AK29" s="922"/>
      <c r="AL29" s="1127">
        <f>ROUND(SUM(AF29-AI29),1)</f>
        <v>0</v>
      </c>
      <c r="AM29" s="88"/>
      <c r="AN29" s="548">
        <f>ROUND(IF(AI29=0,0,AL29/ABS(AI29)),3)</f>
        <v>0</v>
      </c>
      <c r="AO29" s="216"/>
      <c r="AP29" s="85"/>
      <c r="AQ29" s="85"/>
      <c r="AR29" s="85"/>
    </row>
    <row r="30" spans="1:46">
      <c r="A30" s="301"/>
      <c r="B30" s="88"/>
      <c r="C30" s="301"/>
      <c r="D30" s="301"/>
      <c r="E30" s="1128"/>
      <c r="F30" s="13"/>
      <c r="G30" s="1128"/>
      <c r="H30" s="13"/>
      <c r="I30" s="1128"/>
      <c r="J30" s="13"/>
      <c r="K30" s="1128"/>
      <c r="L30" s="752"/>
      <c r="M30" s="1128"/>
      <c r="N30" s="752"/>
      <c r="O30" s="1128"/>
      <c r="P30" s="752"/>
      <c r="Q30" s="1128"/>
      <c r="R30" s="752"/>
      <c r="S30" s="1128"/>
      <c r="T30" s="752"/>
      <c r="U30" s="1128"/>
      <c r="V30" s="752"/>
      <c r="W30" s="1128"/>
      <c r="X30" s="752"/>
      <c r="Y30" s="1128"/>
      <c r="Z30" s="752"/>
      <c r="AA30" s="1128"/>
      <c r="AB30" s="13"/>
      <c r="AC30" s="1128"/>
      <c r="AD30" s="1269"/>
      <c r="AE30" s="752"/>
      <c r="AF30" s="1128"/>
      <c r="AG30" s="1270"/>
      <c r="AH30" s="920"/>
      <c r="AI30" s="920"/>
      <c r="AJ30" s="921"/>
      <c r="AK30" s="922"/>
      <c r="AL30" s="920"/>
      <c r="AM30" s="752"/>
      <c r="AN30" s="752"/>
      <c r="AO30" s="216"/>
      <c r="AP30" s="85"/>
      <c r="AQ30" s="85"/>
      <c r="AR30" s="85"/>
    </row>
    <row r="31" spans="1:46">
      <c r="A31" s="301"/>
      <c r="B31" s="88" t="s">
        <v>389</v>
      </c>
      <c r="C31" s="301"/>
      <c r="D31" s="301"/>
      <c r="E31" s="1070">
        <f>ROUND(SUM(E9+E26+E21+E29),1)</f>
        <v>98.4</v>
      </c>
      <c r="F31" s="274"/>
      <c r="G31" s="1070">
        <f>ROUND(SUM(G9+G26+G21+G29),1)</f>
        <v>91.1</v>
      </c>
      <c r="H31" s="274"/>
      <c r="I31" s="1070">
        <f>ROUND(SUM(I9+I26+I21+I29),1)</f>
        <v>147.6</v>
      </c>
      <c r="J31" s="274"/>
      <c r="K31" s="1070">
        <f>ROUND(SUM(K9+K26+K21+K29),1)</f>
        <v>124.8</v>
      </c>
      <c r="L31" s="752"/>
      <c r="M31" s="1070">
        <f>ROUND(SUM(M9+M26+M21+M29),1)</f>
        <v>127.6</v>
      </c>
      <c r="N31" s="752"/>
      <c r="O31" s="1070">
        <f>ROUND(SUM(O9+O26+O21+O29),1)</f>
        <v>155.19999999999999</v>
      </c>
      <c r="P31" s="752"/>
      <c r="Q31" s="1070">
        <f>ROUND(SUM(Q9+Q26+Q21+Q29),1)</f>
        <v>120.5</v>
      </c>
      <c r="R31" s="752"/>
      <c r="S31" s="1042">
        <f>ROUND(SUM(S9+S26+S21+S29),1)</f>
        <v>120.4</v>
      </c>
      <c r="T31" s="752"/>
      <c r="U31" s="1042">
        <f>ROUND(SUM(U9+U26+U21+U29),1)</f>
        <v>141.19999999999999</v>
      </c>
      <c r="V31" s="752"/>
      <c r="W31" s="1042">
        <f>ROUND(SUM(W9+W26+W21+W29),1)</f>
        <v>117.5</v>
      </c>
      <c r="X31" s="752"/>
      <c r="Y31" s="1042">
        <f>ROUND(SUM(Y9+Y26+Y21+Y29),1)</f>
        <v>116.1</v>
      </c>
      <c r="Z31" s="752"/>
      <c r="AA31" s="1042">
        <f>ROUND(SUM(AA9+AA26+AA21+AA29),1)</f>
        <v>0</v>
      </c>
      <c r="AB31" s="425"/>
      <c r="AC31" s="1042">
        <f>ROUND(SUM(AC13+AC26+AC21+AC29),1)</f>
        <v>0</v>
      </c>
      <c r="AD31" s="1269"/>
      <c r="AE31" s="752"/>
      <c r="AF31" s="1042">
        <f>ROUND(SUM(AF26+AF21+AF29),1)</f>
        <v>1360.4</v>
      </c>
      <c r="AG31" s="1270"/>
      <c r="AH31" s="920"/>
      <c r="AI31" s="1042">
        <f>ROUND(SUM(AI26+AI21+AI29),1)</f>
        <v>1392.4</v>
      </c>
      <c r="AJ31" s="921"/>
      <c r="AK31" s="922"/>
      <c r="AL31" s="1089">
        <f>ROUND(SUM(AF31-AI31),1)</f>
        <v>-32</v>
      </c>
      <c r="AM31" s="88"/>
      <c r="AN31" s="549">
        <f>ROUND(IF(AI31=0,0,AL31/ABS(AI31)),3)</f>
        <v>-2.3E-2</v>
      </c>
      <c r="AO31" s="216"/>
      <c r="AP31" s="85"/>
      <c r="AQ31" s="85"/>
      <c r="AR31" s="85"/>
    </row>
    <row r="32" spans="1:46">
      <c r="A32" s="301"/>
      <c r="B32" s="88"/>
      <c r="C32" s="301"/>
      <c r="D32" s="301"/>
      <c r="E32" s="623"/>
      <c r="F32" s="274"/>
      <c r="G32" s="623"/>
      <c r="H32" s="274"/>
      <c r="I32" s="623"/>
      <c r="J32" s="274"/>
      <c r="K32" s="623"/>
      <c r="L32" s="752"/>
      <c r="M32" s="623"/>
      <c r="N32" s="752"/>
      <c r="O32" s="623"/>
      <c r="P32" s="752"/>
      <c r="Q32" s="623"/>
      <c r="R32" s="752"/>
      <c r="S32" s="425"/>
      <c r="T32" s="752"/>
      <c r="U32" s="425"/>
      <c r="V32" s="752"/>
      <c r="W32" s="425"/>
      <c r="X32" s="752"/>
      <c r="Y32" s="425"/>
      <c r="Z32" s="752"/>
      <c r="AA32" s="425"/>
      <c r="AB32" s="425"/>
      <c r="AC32" s="425"/>
      <c r="AD32" s="1269"/>
      <c r="AE32" s="752"/>
      <c r="AF32" s="425"/>
      <c r="AG32" s="1270"/>
      <c r="AH32" s="920"/>
      <c r="AI32" s="425"/>
      <c r="AJ32" s="921"/>
      <c r="AK32" s="922"/>
      <c r="AL32" s="424"/>
      <c r="AM32" s="88"/>
      <c r="AN32" s="291"/>
      <c r="AO32" s="216"/>
      <c r="AP32" s="85"/>
      <c r="AQ32" s="85"/>
      <c r="AR32" s="85"/>
    </row>
    <row r="33" spans="1:40">
      <c r="A33" s="301"/>
      <c r="B33" s="1248" t="s">
        <v>390</v>
      </c>
      <c r="C33" s="301"/>
      <c r="D33" s="301"/>
      <c r="E33" s="285"/>
      <c r="F33" s="274"/>
      <c r="G33" s="285"/>
      <c r="H33" s="274"/>
      <c r="I33" s="285"/>
      <c r="J33" s="274"/>
      <c r="K33" s="285"/>
      <c r="L33" s="274"/>
      <c r="M33" s="285"/>
      <c r="N33" s="274"/>
      <c r="O33" s="285"/>
      <c r="P33" s="274"/>
      <c r="Q33" s="285"/>
      <c r="R33" s="274"/>
      <c r="S33" s="285"/>
      <c r="T33" s="274"/>
      <c r="U33" s="285"/>
      <c r="V33" s="274"/>
      <c r="W33" s="285"/>
      <c r="X33" s="274"/>
      <c r="Y33" s="285"/>
      <c r="Z33" s="274"/>
      <c r="AA33" s="285"/>
      <c r="AB33" s="285"/>
      <c r="AC33" s="285"/>
      <c r="AD33" s="274"/>
      <c r="AE33" s="534"/>
      <c r="AF33" s="299"/>
      <c r="AG33" s="1275"/>
      <c r="AH33" s="377"/>
      <c r="AI33" s="2079"/>
      <c r="AJ33" s="297"/>
      <c r="AK33" s="102"/>
      <c r="AL33" s="12"/>
      <c r="AM33" s="100"/>
      <c r="AN33" s="276"/>
    </row>
    <row r="34" spans="1:40">
      <c r="A34" s="301"/>
      <c r="B34" s="360" t="s">
        <v>391</v>
      </c>
      <c r="C34" s="301"/>
      <c r="D34" s="301"/>
      <c r="E34" s="285"/>
      <c r="F34" s="274"/>
      <c r="G34" s="285"/>
      <c r="H34" s="274"/>
      <c r="I34" s="285"/>
      <c r="J34" s="274"/>
      <c r="K34" s="285"/>
      <c r="L34" s="274"/>
      <c r="M34" s="285"/>
      <c r="N34" s="274"/>
      <c r="O34" s="285"/>
      <c r="P34" s="274"/>
      <c r="Q34" s="285"/>
      <c r="R34" s="274"/>
      <c r="S34" s="285"/>
      <c r="T34" s="274"/>
      <c r="U34" s="285"/>
      <c r="V34" s="274"/>
      <c r="W34" s="285"/>
      <c r="X34" s="274"/>
      <c r="Y34" s="285"/>
      <c r="Z34" s="274"/>
      <c r="AA34" s="285"/>
      <c r="AB34" s="285"/>
      <c r="AC34" s="285"/>
      <c r="AD34" s="274"/>
      <c r="AE34" s="534"/>
      <c r="AF34" s="299"/>
      <c r="AG34" s="1275"/>
      <c r="AH34" s="377"/>
      <c r="AI34" s="2079"/>
      <c r="AJ34" s="297"/>
      <c r="AK34" s="102"/>
      <c r="AL34" s="12"/>
      <c r="AM34" s="100"/>
      <c r="AN34" s="276"/>
    </row>
    <row r="35" spans="1:40">
      <c r="A35" s="301"/>
      <c r="B35" s="360" t="s">
        <v>569</v>
      </c>
      <c r="C35" s="301"/>
      <c r="D35" s="301"/>
      <c r="E35" s="285">
        <f>+'Exhibit I State'!E35+'Exhibit I Federal'!E18</f>
        <v>0</v>
      </c>
      <c r="F35" s="285"/>
      <c r="G35" s="285">
        <f>+'Exhibit I State'!G35+'Exhibit I Federal'!G18</f>
        <v>0</v>
      </c>
      <c r="H35" s="285"/>
      <c r="I35" s="285">
        <f>+'Exhibit I State'!I35+'Exhibit I Federal'!I18</f>
        <v>0</v>
      </c>
      <c r="J35" s="274"/>
      <c r="K35" s="285">
        <f>+'Exhibit I State'!K35+'Exhibit I Federal'!K18</f>
        <v>0</v>
      </c>
      <c r="L35" s="274"/>
      <c r="M35" s="285">
        <f>+'Exhibit I State'!M35+'Exhibit I Federal'!M18</f>
        <v>0</v>
      </c>
      <c r="N35" s="274"/>
      <c r="O35" s="285">
        <f>+'Exhibit I State'!O35+'Exhibit I Federal'!O18</f>
        <v>23</v>
      </c>
      <c r="P35" s="274"/>
      <c r="Q35" s="285">
        <v>0</v>
      </c>
      <c r="R35" s="274"/>
      <c r="S35" s="285">
        <v>0</v>
      </c>
      <c r="T35" s="285"/>
      <c r="U35" s="285">
        <v>0</v>
      </c>
      <c r="V35" s="285"/>
      <c r="W35" s="285">
        <v>0</v>
      </c>
      <c r="X35" s="285"/>
      <c r="Y35" s="285">
        <f>+'Exhibit I State'!Y35</f>
        <v>0</v>
      </c>
      <c r="Z35" s="285"/>
      <c r="AA35" s="285"/>
      <c r="AB35" s="285"/>
      <c r="AC35" s="285">
        <v>0</v>
      </c>
      <c r="AD35" s="274"/>
      <c r="AE35" s="534"/>
      <c r="AF35" s="299">
        <f>ROUND(SUM(E35:AC35),1)</f>
        <v>23</v>
      </c>
      <c r="AG35" s="1275"/>
      <c r="AH35" s="377"/>
      <c r="AI35" s="2079">
        <f>+'Exhibit I State'!AG35+'Exhibit I Federal'!AG18</f>
        <v>23</v>
      </c>
      <c r="AJ35" s="297"/>
      <c r="AK35" s="102"/>
      <c r="AL35" s="12">
        <f t="shared" ref="AL35:AL58" si="0">ROUND(SUM(+AF35-AI35),1)</f>
        <v>0</v>
      </c>
      <c r="AM35" s="100"/>
      <c r="AN35" s="276">
        <f>ROUND(IF(AI35=0,0,AL35/ABS(AI35)),3)</f>
        <v>0</v>
      </c>
    </row>
    <row r="36" spans="1:40">
      <c r="A36" s="301"/>
      <c r="B36" s="360" t="s">
        <v>394</v>
      </c>
      <c r="C36" s="301"/>
      <c r="D36" s="301"/>
      <c r="E36" s="285"/>
      <c r="F36" s="285"/>
      <c r="G36" s="285"/>
      <c r="H36" s="285"/>
      <c r="I36" s="285"/>
      <c r="J36" s="274"/>
      <c r="K36" s="285"/>
      <c r="L36" s="274"/>
      <c r="M36" s="285"/>
      <c r="N36" s="274"/>
      <c r="O36" s="285"/>
      <c r="P36" s="274"/>
      <c r="Q36" s="285"/>
      <c r="R36" s="274"/>
      <c r="S36" s="285"/>
      <c r="T36" s="285"/>
      <c r="U36" s="285"/>
      <c r="V36" s="285"/>
      <c r="W36" s="285"/>
      <c r="X36" s="285"/>
      <c r="Y36" s="285"/>
      <c r="Z36" s="285"/>
      <c r="AA36" s="285"/>
      <c r="AB36" s="285"/>
      <c r="AC36" s="285"/>
      <c r="AD36" s="274"/>
      <c r="AE36" s="534"/>
      <c r="AF36" s="299"/>
      <c r="AG36" s="1275"/>
      <c r="AH36" s="377"/>
      <c r="AI36" s="2079"/>
      <c r="AJ36" s="297"/>
      <c r="AK36" s="102"/>
      <c r="AL36" s="12"/>
      <c r="AM36" s="100"/>
      <c r="AN36" s="276"/>
    </row>
    <row r="37" spans="1:40">
      <c r="A37" s="301"/>
      <c r="B37" s="360" t="s">
        <v>491</v>
      </c>
      <c r="C37" s="301"/>
      <c r="D37" s="301"/>
      <c r="E37" s="285">
        <f>+'Exhibit I State'!E37+'Exhibit I Federal'!E20</f>
        <v>5.8</v>
      </c>
      <c r="F37" s="285"/>
      <c r="G37" s="285">
        <f>+'Exhibit I State'!G37+'Exhibit I Federal'!G20</f>
        <v>6.0000000000000009</v>
      </c>
      <c r="H37" s="285"/>
      <c r="I37" s="285">
        <f>+'Exhibit I State'!I37+'Exhibit I Federal'!I20</f>
        <v>5.4999999999999991</v>
      </c>
      <c r="J37" s="274"/>
      <c r="K37" s="285">
        <f>+'Exhibit I State'!K37+'Exhibit I Federal'!K20</f>
        <v>4.8999999999999995</v>
      </c>
      <c r="L37" s="274"/>
      <c r="M37" s="285">
        <f>+'Exhibit I State'!M37+'Exhibit I Federal'!M20</f>
        <v>5.1000000000000005</v>
      </c>
      <c r="N37" s="274"/>
      <c r="O37" s="285">
        <f>+'Exhibit I State'!O37+'Exhibit I Federal'!O20</f>
        <v>4.900000000000003</v>
      </c>
      <c r="P37" s="274"/>
      <c r="Q37" s="285">
        <v>4.6999999999999957</v>
      </c>
      <c r="R37" s="274"/>
      <c r="S37" s="285">
        <v>5.2000000000000028</v>
      </c>
      <c r="T37" s="285"/>
      <c r="U37" s="285">
        <v>4.6999999999999957</v>
      </c>
      <c r="V37" s="285"/>
      <c r="W37" s="285">
        <v>4.9000000000000057</v>
      </c>
      <c r="X37" s="285"/>
      <c r="Y37" s="285">
        <f>+'Exhibit I State'!Y37</f>
        <v>5.2999999999999972</v>
      </c>
      <c r="Z37" s="285"/>
      <c r="AA37" s="285"/>
      <c r="AB37" s="285"/>
      <c r="AC37" s="285">
        <v>0</v>
      </c>
      <c r="AD37" s="274"/>
      <c r="AE37" s="534"/>
      <c r="AF37" s="299">
        <f>ROUND(SUM(E37:AC37),1)</f>
        <v>57</v>
      </c>
      <c r="AG37" s="1275"/>
      <c r="AH37" s="377"/>
      <c r="AI37" s="2079">
        <f>+'Exhibit I State'!AG37+'Exhibit I Federal'!AG20</f>
        <v>61</v>
      </c>
      <c r="AJ37" s="297"/>
      <c r="AK37" s="102"/>
      <c r="AL37" s="12">
        <f t="shared" si="0"/>
        <v>-4</v>
      </c>
      <c r="AM37" s="100"/>
      <c r="AN37" s="276">
        <f>ROUND(IF(AI37=0,0,AL37/ABS(AI37)),3)</f>
        <v>-6.6000000000000003E-2</v>
      </c>
    </row>
    <row r="38" spans="1:40">
      <c r="A38" s="301"/>
      <c r="B38" s="360" t="s">
        <v>399</v>
      </c>
      <c r="C38" s="301"/>
      <c r="D38" s="301"/>
      <c r="E38" s="285"/>
      <c r="F38" s="285"/>
      <c r="G38" s="285"/>
      <c r="H38" s="285"/>
      <c r="I38" s="285"/>
      <c r="J38" s="274"/>
      <c r="K38" s="285"/>
      <c r="L38" s="274"/>
      <c r="M38" s="285"/>
      <c r="N38" s="274"/>
      <c r="O38" s="285"/>
      <c r="P38" s="274"/>
      <c r="Q38" s="285"/>
      <c r="R38" s="274"/>
      <c r="S38" s="285" t="s">
        <v>103</v>
      </c>
      <c r="T38" s="285"/>
      <c r="U38" s="285" t="s">
        <v>103</v>
      </c>
      <c r="V38" s="285"/>
      <c r="W38" s="285" t="s">
        <v>103</v>
      </c>
      <c r="X38" s="285"/>
      <c r="Y38" s="285" t="s">
        <v>103</v>
      </c>
      <c r="Z38" s="285"/>
      <c r="AA38" s="285"/>
      <c r="AB38" s="285"/>
      <c r="AC38" s="285"/>
      <c r="AD38" s="274"/>
      <c r="AE38" s="534"/>
      <c r="AF38" s="299"/>
      <c r="AG38" s="1275"/>
      <c r="AH38" s="377"/>
      <c r="AI38" s="2079"/>
      <c r="AJ38" s="297"/>
      <c r="AK38" s="102"/>
      <c r="AL38" s="12"/>
      <c r="AM38" s="100"/>
      <c r="AN38" s="276"/>
    </row>
    <row r="39" spans="1:40">
      <c r="A39" s="301"/>
      <c r="B39" s="360" t="s">
        <v>494</v>
      </c>
      <c r="C39" s="301"/>
      <c r="D39" s="301"/>
      <c r="E39" s="285">
        <f>+'Exhibit I State'!E39+'Exhibit I Federal'!E22</f>
        <v>1.4</v>
      </c>
      <c r="F39" s="285"/>
      <c r="G39" s="285">
        <f>+'Exhibit I State'!G39+'Exhibit I Federal'!G22</f>
        <v>2.5</v>
      </c>
      <c r="H39" s="285"/>
      <c r="I39" s="285">
        <f>+'Exhibit I State'!I39+'Exhibit I Federal'!I22</f>
        <v>1.8000000000000007</v>
      </c>
      <c r="J39" s="274"/>
      <c r="K39" s="285">
        <f>+'Exhibit I State'!K39+'Exhibit I Federal'!K22</f>
        <v>8.4999999999999982</v>
      </c>
      <c r="L39" s="274"/>
      <c r="M39" s="285">
        <f>+'Exhibit I State'!M39+'Exhibit I Federal'!M22</f>
        <v>2.5</v>
      </c>
      <c r="N39" s="274"/>
      <c r="O39" s="285">
        <f>+'Exhibit I State'!O39+'Exhibit I Federal'!O22</f>
        <v>4.4000000000000039</v>
      </c>
      <c r="P39" s="274"/>
      <c r="Q39" s="285">
        <v>3</v>
      </c>
      <c r="R39" s="274"/>
      <c r="S39" s="285">
        <v>4.0999999999999979</v>
      </c>
      <c r="T39" s="285"/>
      <c r="U39" s="285">
        <v>3.1999999999999993</v>
      </c>
      <c r="V39" s="285"/>
      <c r="W39" s="285">
        <v>0.40000000000000213</v>
      </c>
      <c r="X39" s="285"/>
      <c r="Y39" s="285">
        <f>+'Exhibit I State'!Y39</f>
        <v>1.6999999999999993</v>
      </c>
      <c r="Z39" s="285"/>
      <c r="AA39" s="285"/>
      <c r="AB39" s="285"/>
      <c r="AC39" s="285">
        <v>0</v>
      </c>
      <c r="AD39" s="274"/>
      <c r="AE39" s="534"/>
      <c r="AF39" s="299">
        <f t="shared" ref="AF39:AF42" si="1">ROUND(SUM(E39:AC39),1)</f>
        <v>33.5</v>
      </c>
      <c r="AG39" s="1275"/>
      <c r="AH39" s="377"/>
      <c r="AI39" s="2079">
        <f>+'Exhibit I State'!AG39+'Exhibit I Federal'!AG22</f>
        <v>37.5</v>
      </c>
      <c r="AJ39" s="297"/>
      <c r="AK39" s="102"/>
      <c r="AL39" s="12">
        <f t="shared" si="0"/>
        <v>-4</v>
      </c>
      <c r="AM39" s="100"/>
      <c r="AN39" s="276">
        <f>ROUND(IF(AI39=0,0,AL39/ABS(AI39)),3)</f>
        <v>-0.107</v>
      </c>
    </row>
    <row r="40" spans="1:40">
      <c r="A40" s="301"/>
      <c r="B40" s="360" t="s">
        <v>570</v>
      </c>
      <c r="C40" s="301"/>
      <c r="D40" s="301"/>
      <c r="E40" s="285">
        <f>+'Exhibit I State'!E40+'Exhibit I Federal'!E23</f>
        <v>0</v>
      </c>
      <c r="F40" s="285"/>
      <c r="G40" s="285">
        <f>+'Exhibit I State'!G40+'Exhibit I Federal'!G23</f>
        <v>0</v>
      </c>
      <c r="H40" s="285"/>
      <c r="I40" s="285">
        <f>+'Exhibit I State'!I40+'Exhibit I Federal'!I23</f>
        <v>0</v>
      </c>
      <c r="J40" s="274"/>
      <c r="K40" s="285">
        <f>+'Exhibit I State'!K40+'Exhibit I Federal'!K23</f>
        <v>0</v>
      </c>
      <c r="L40" s="274"/>
      <c r="M40" s="285">
        <f>+'Exhibit I State'!M40+'Exhibit I Federal'!M23</f>
        <v>0</v>
      </c>
      <c r="N40" s="274"/>
      <c r="O40" s="285">
        <f>+'Exhibit I State'!O40+'Exhibit I Federal'!O23</f>
        <v>0</v>
      </c>
      <c r="P40" s="274"/>
      <c r="Q40" s="285">
        <v>0</v>
      </c>
      <c r="R40" s="274"/>
      <c r="S40" s="285">
        <v>0</v>
      </c>
      <c r="T40" s="285"/>
      <c r="U40" s="285">
        <v>0</v>
      </c>
      <c r="V40" s="285"/>
      <c r="W40" s="285">
        <v>0</v>
      </c>
      <c r="X40" s="285"/>
      <c r="Y40" s="285">
        <f>+'Exhibit I State'!Y40</f>
        <v>0</v>
      </c>
      <c r="Z40" s="285"/>
      <c r="AA40" s="285"/>
      <c r="AB40" s="285"/>
      <c r="AC40" s="285">
        <v>0</v>
      </c>
      <c r="AD40" s="274"/>
      <c r="AE40" s="534"/>
      <c r="AF40" s="299">
        <f t="shared" si="1"/>
        <v>0</v>
      </c>
      <c r="AG40" s="1275"/>
      <c r="AH40" s="377"/>
      <c r="AI40" s="2079">
        <f>+'Exhibit I State'!AG40+'Exhibit I Federal'!AG23</f>
        <v>0</v>
      </c>
      <c r="AJ40" s="297"/>
      <c r="AK40" s="102"/>
      <c r="AL40" s="12">
        <f>ROUND(SUM(+AF40-AI40),1)</f>
        <v>0</v>
      </c>
      <c r="AM40" s="100"/>
      <c r="AN40" s="276">
        <f>ROUND(IF(AI40=0,0,AL40/ABS(AI40)),3)</f>
        <v>0</v>
      </c>
    </row>
    <row r="41" spans="1:40">
      <c r="A41" s="301"/>
      <c r="B41" s="360" t="s">
        <v>497</v>
      </c>
      <c r="C41" s="301"/>
      <c r="D41" s="301"/>
      <c r="E41" s="285">
        <f>+'Exhibit I State'!E41+'Exhibit I Federal'!E24</f>
        <v>54.4</v>
      </c>
      <c r="F41" s="285"/>
      <c r="G41" s="285">
        <f>+'Exhibit I State'!G41+'Exhibit I Federal'!G24</f>
        <v>58.1</v>
      </c>
      <c r="H41" s="285"/>
      <c r="I41" s="285">
        <f>+'Exhibit I State'!I41+'Exhibit I Federal'!I24</f>
        <v>64.300000000000011</v>
      </c>
      <c r="J41" s="274"/>
      <c r="K41" s="285">
        <f>+'Exhibit I State'!K41+'Exhibit I Federal'!K24</f>
        <v>58.799999999999983</v>
      </c>
      <c r="L41" s="274"/>
      <c r="M41" s="285">
        <f>+'Exhibit I State'!M41+'Exhibit I Federal'!M24</f>
        <v>59.400000000000006</v>
      </c>
      <c r="N41" s="274"/>
      <c r="O41" s="285">
        <f>+'Exhibit I State'!O41+'Exhibit I Federal'!O24</f>
        <v>55.700000000000017</v>
      </c>
      <c r="P41" s="274"/>
      <c r="Q41" s="285">
        <v>48.899999999999977</v>
      </c>
      <c r="R41" s="274"/>
      <c r="S41" s="285">
        <v>58.199999999999989</v>
      </c>
      <c r="T41" s="285"/>
      <c r="U41" s="285">
        <v>53.899999999999977</v>
      </c>
      <c r="V41" s="285"/>
      <c r="W41" s="285">
        <v>53.199999999999989</v>
      </c>
      <c r="X41" s="285"/>
      <c r="Y41" s="285">
        <f>+'Exhibit I State'!Y41</f>
        <v>54.5</v>
      </c>
      <c r="Z41" s="285"/>
      <c r="AA41" s="285"/>
      <c r="AB41" s="285"/>
      <c r="AC41" s="285">
        <v>0</v>
      </c>
      <c r="AD41" s="274"/>
      <c r="AE41" s="534"/>
      <c r="AF41" s="299">
        <f>ROUND(SUM(E41:AC41),1)</f>
        <v>619.4</v>
      </c>
      <c r="AG41" s="1275"/>
      <c r="AH41" s="377"/>
      <c r="AI41" s="2079">
        <f>+'Exhibit I State'!AG41+'Exhibit I Federal'!AG24</f>
        <v>634.5</v>
      </c>
      <c r="AJ41" s="297"/>
      <c r="AK41" s="102"/>
      <c r="AL41" s="12">
        <f t="shared" si="0"/>
        <v>-15.1</v>
      </c>
      <c r="AM41" s="100"/>
      <c r="AN41" s="276">
        <f>ROUND(IF(AI41=0,0,AL41/ABS(AI41)),3)</f>
        <v>-2.4E-2</v>
      </c>
    </row>
    <row r="42" spans="1:40">
      <c r="A42" s="301"/>
      <c r="B42" s="360" t="s">
        <v>498</v>
      </c>
      <c r="C42" s="301"/>
      <c r="D42" s="301"/>
      <c r="E42" s="285">
        <f>+'Exhibit I State'!E42+'Exhibit I Federal'!E25</f>
        <v>0.3</v>
      </c>
      <c r="F42" s="285"/>
      <c r="G42" s="285">
        <f>+'Exhibit I State'!G42+'Exhibit I Federal'!G25</f>
        <v>0.39999999999999997</v>
      </c>
      <c r="H42" s="285"/>
      <c r="I42" s="285">
        <f>+'Exhibit I State'!I42+'Exhibit I Federal'!I25</f>
        <v>1.3</v>
      </c>
      <c r="J42" s="274"/>
      <c r="K42" s="285">
        <f>+'Exhibit I State'!K42+'Exhibit I Federal'!K25</f>
        <v>0.40000000000000013</v>
      </c>
      <c r="L42" s="274"/>
      <c r="M42" s="285">
        <f>+'Exhibit I State'!M42+'Exhibit I Federal'!M25</f>
        <v>10.399999999999999</v>
      </c>
      <c r="N42" s="274"/>
      <c r="O42" s="285">
        <f>+'Exhibit I State'!O42+'Exhibit I Federal'!O25</f>
        <v>1.1999999999999993</v>
      </c>
      <c r="P42" s="274"/>
      <c r="Q42" s="285">
        <v>8.1000000000000032</v>
      </c>
      <c r="R42" s="274"/>
      <c r="S42" s="285">
        <v>-0.10000000000000142</v>
      </c>
      <c r="T42" s="285"/>
      <c r="U42" s="285">
        <v>1.3000000000000007</v>
      </c>
      <c r="V42" s="285"/>
      <c r="W42" s="285">
        <v>0</v>
      </c>
      <c r="X42" s="285"/>
      <c r="Y42" s="285">
        <f>+'Exhibit I State'!Y42</f>
        <v>0</v>
      </c>
      <c r="Z42" s="285"/>
      <c r="AA42" s="285"/>
      <c r="AB42" s="285"/>
      <c r="AC42" s="285">
        <v>0</v>
      </c>
      <c r="AD42" s="274"/>
      <c r="AE42" s="534"/>
      <c r="AF42" s="299">
        <f t="shared" si="1"/>
        <v>23.3</v>
      </c>
      <c r="AG42" s="1275"/>
      <c r="AH42" s="377"/>
      <c r="AI42" s="2079">
        <f>+'Exhibit I State'!AG42+'Exhibit I Federal'!AG25</f>
        <v>25.5</v>
      </c>
      <c r="AJ42" s="297"/>
      <c r="AK42" s="102"/>
      <c r="AL42" s="274">
        <f>ROUND(SUM(+AF42-AI42),1)</f>
        <v>-2.2000000000000002</v>
      </c>
      <c r="AM42" s="274"/>
      <c r="AN42" s="553">
        <f>ROUND(IF(AI42=0,1,AL42/ABS(AI42)),3)</f>
        <v>-8.5999999999999993E-2</v>
      </c>
    </row>
    <row r="43" spans="1:40">
      <c r="A43" s="301"/>
      <c r="B43" s="360" t="s">
        <v>407</v>
      </c>
      <c r="C43" s="301"/>
      <c r="D43" s="301"/>
      <c r="E43" s="285">
        <f>+'Exhibit I State'!E43+'Exhibit I Federal'!E26</f>
        <v>2</v>
      </c>
      <c r="F43" s="285"/>
      <c r="G43" s="285">
        <f>+'Exhibit I State'!G43+'Exhibit I Federal'!G26</f>
        <v>3.2</v>
      </c>
      <c r="H43" s="285"/>
      <c r="I43" s="285">
        <f>+'Exhibit I State'!I43+'Exhibit I Federal'!I26</f>
        <v>2.5999999999999996</v>
      </c>
      <c r="J43" s="274"/>
      <c r="K43" s="285">
        <f>+'Exhibit I State'!K43+'Exhibit I Federal'!K26</f>
        <v>3.7</v>
      </c>
      <c r="L43" s="274"/>
      <c r="M43" s="285">
        <f>+'Exhibit I State'!M43+'Exhibit I Federal'!M26</f>
        <v>2.7</v>
      </c>
      <c r="N43" s="274"/>
      <c r="O43" s="285">
        <f>+'Exhibit I State'!O43+'Exhibit I Federal'!O26</f>
        <v>1.6000000000000014</v>
      </c>
      <c r="P43" s="274"/>
      <c r="Q43" s="285">
        <v>3.3999999999999986</v>
      </c>
      <c r="R43" s="274"/>
      <c r="S43" s="285">
        <v>10.3</v>
      </c>
      <c r="T43" s="285"/>
      <c r="U43" s="285">
        <v>3.7999999999999972</v>
      </c>
      <c r="V43" s="285"/>
      <c r="W43" s="285">
        <v>2.4000000000000057</v>
      </c>
      <c r="X43" s="285"/>
      <c r="Y43" s="285">
        <f>+'Exhibit I State'!Y43</f>
        <v>2.5</v>
      </c>
      <c r="Z43" s="285"/>
      <c r="AA43" s="285"/>
      <c r="AB43" s="285"/>
      <c r="AC43" s="285">
        <v>0</v>
      </c>
      <c r="AD43" s="274"/>
      <c r="AE43" s="534"/>
      <c r="AF43" s="299">
        <f>ROUND(SUM(E43:AC43),1)</f>
        <v>38.200000000000003</v>
      </c>
      <c r="AG43" s="1275"/>
      <c r="AH43" s="377"/>
      <c r="AI43" s="2079">
        <f>+'Exhibit I State'!AG43+'Exhibit I Federal'!AG26</f>
        <v>26.4</v>
      </c>
      <c r="AJ43" s="297"/>
      <c r="AK43" s="102"/>
      <c r="AL43" s="12">
        <f t="shared" si="0"/>
        <v>11.8</v>
      </c>
      <c r="AM43" s="100"/>
      <c r="AN43" s="553">
        <f>ROUND(IF(AI43=0,1,AL43/ABS(AI43)),3)</f>
        <v>0.44700000000000001</v>
      </c>
    </row>
    <row r="44" spans="1:40">
      <c r="A44" s="301"/>
      <c r="B44" s="360" t="s">
        <v>413</v>
      </c>
      <c r="C44" s="301"/>
      <c r="D44" s="301"/>
      <c r="E44" s="285">
        <f>+'Exhibit I State'!E44+'Exhibit I Federal'!E27</f>
        <v>3.9</v>
      </c>
      <c r="F44" s="285"/>
      <c r="G44" s="285">
        <f>+'Exhibit I State'!G44+'Exhibit I Federal'!G27</f>
        <v>4</v>
      </c>
      <c r="H44" s="285"/>
      <c r="I44" s="285">
        <f>+'Exhibit I State'!I44+'Exhibit I Federal'!I27</f>
        <v>4</v>
      </c>
      <c r="J44" s="274"/>
      <c r="K44" s="285">
        <f>+'Exhibit I State'!K44+'Exhibit I Federal'!K27</f>
        <v>4.2000000000000011</v>
      </c>
      <c r="L44" s="274"/>
      <c r="M44" s="285">
        <f>+'Exhibit I State'!M44+'Exhibit I Federal'!M27</f>
        <v>4.5000000000000018</v>
      </c>
      <c r="N44" s="274"/>
      <c r="O44" s="285">
        <f>+'Exhibit I State'!O44+'Exhibit I Federal'!O27</f>
        <v>4.2999999999999972</v>
      </c>
      <c r="P44" s="274"/>
      <c r="Q44" s="285">
        <v>4.1000000000000014</v>
      </c>
      <c r="R44" s="274"/>
      <c r="S44" s="285">
        <v>4.1000000000000014</v>
      </c>
      <c r="T44" s="285"/>
      <c r="U44" s="285">
        <v>3.8999999999999986</v>
      </c>
      <c r="V44" s="285"/>
      <c r="W44" s="285">
        <v>4.1000000000000014</v>
      </c>
      <c r="X44" s="285"/>
      <c r="Y44" s="285">
        <f>+'Exhibit I State'!Y44</f>
        <v>4</v>
      </c>
      <c r="Z44" s="285"/>
      <c r="AA44" s="285"/>
      <c r="AB44" s="285"/>
      <c r="AC44" s="285">
        <v>0</v>
      </c>
      <c r="AD44" s="274"/>
      <c r="AE44" s="534"/>
      <c r="AF44" s="299">
        <f>ROUND(SUM(E44:AC44),1)</f>
        <v>45.1</v>
      </c>
      <c r="AG44" s="1275"/>
      <c r="AH44" s="377"/>
      <c r="AI44" s="2079">
        <f>+'Exhibit I State'!AG44+'Exhibit I Federal'!AG27</f>
        <v>37</v>
      </c>
      <c r="AJ44" s="297"/>
      <c r="AK44" s="102"/>
      <c r="AL44" s="12">
        <f>ROUND(SUM(+AF44-AI44),1)</f>
        <v>8.1</v>
      </c>
      <c r="AM44" s="100"/>
      <c r="AN44" s="954">
        <f>ROUND(IF(AI44=0,1,AL44/ABS(AI44)),3)</f>
        <v>0.219</v>
      </c>
    </row>
    <row r="45" spans="1:40">
      <c r="A45" s="301"/>
      <c r="B45" s="360" t="s">
        <v>414</v>
      </c>
      <c r="C45" s="301"/>
      <c r="D45" s="301"/>
      <c r="E45" s="285">
        <f>+'Exhibit I State'!E45+'Exhibit I Federal'!E28</f>
        <v>0</v>
      </c>
      <c r="F45" s="285"/>
      <c r="G45" s="285">
        <f>+'Exhibit I State'!G45+'Exhibit I Federal'!G28</f>
        <v>0.5</v>
      </c>
      <c r="H45" s="285"/>
      <c r="I45" s="285">
        <f>+'Exhibit I State'!I45+'Exhibit I Federal'!I28</f>
        <v>0</v>
      </c>
      <c r="J45" s="274"/>
      <c r="K45" s="285">
        <f>+'Exhibit I State'!K45+'Exhibit I Federal'!K28</f>
        <v>0</v>
      </c>
      <c r="L45" s="274"/>
      <c r="M45" s="285">
        <f>+'Exhibit I State'!M45+'Exhibit I Federal'!M28</f>
        <v>0</v>
      </c>
      <c r="N45" s="274"/>
      <c r="O45" s="285">
        <f>+'Exhibit I State'!O45+'Exhibit I Federal'!O28</f>
        <v>0</v>
      </c>
      <c r="P45" s="274"/>
      <c r="Q45" s="285">
        <v>0</v>
      </c>
      <c r="R45" s="274"/>
      <c r="S45" s="285">
        <v>0</v>
      </c>
      <c r="T45" s="285"/>
      <c r="U45" s="285">
        <v>0</v>
      </c>
      <c r="V45" s="285"/>
      <c r="W45" s="285">
        <v>0</v>
      </c>
      <c r="X45" s="285"/>
      <c r="Y45" s="285">
        <f>+'Exhibit I State'!Y45</f>
        <v>0</v>
      </c>
      <c r="Z45" s="285"/>
      <c r="AA45" s="285"/>
      <c r="AB45" s="285"/>
      <c r="AC45" s="285">
        <v>0</v>
      </c>
      <c r="AD45" s="274"/>
      <c r="AE45" s="534"/>
      <c r="AF45" s="299">
        <f>ROUND(SUM(E45:AC45),1)</f>
        <v>0.5</v>
      </c>
      <c r="AG45" s="1275"/>
      <c r="AH45" s="377"/>
      <c r="AI45" s="2079">
        <f>+'Exhibit I State'!AG45+'Exhibit I Federal'!AG28</f>
        <v>0</v>
      </c>
      <c r="AJ45" s="297"/>
      <c r="AK45" s="102"/>
      <c r="AL45" s="12">
        <f>ROUND(SUM(+AF45-AI45),1)</f>
        <v>0.5</v>
      </c>
      <c r="AM45" s="100"/>
      <c r="AN45" s="954">
        <f>ROUND(IF(AI45=0,1,AL45/ABS(AI45)),3)</f>
        <v>1</v>
      </c>
    </row>
    <row r="46" spans="1:40">
      <c r="A46" s="301"/>
      <c r="B46" s="360" t="s">
        <v>415</v>
      </c>
      <c r="C46" s="301"/>
      <c r="D46" s="301"/>
      <c r="E46" s="285"/>
      <c r="F46" s="285"/>
      <c r="G46" s="285"/>
      <c r="H46" s="285"/>
      <c r="I46" s="285"/>
      <c r="J46" s="274"/>
      <c r="K46" s="285"/>
      <c r="L46" s="274"/>
      <c r="M46" s="285"/>
      <c r="N46" s="274"/>
      <c r="O46" s="285"/>
      <c r="P46" s="274"/>
      <c r="Q46" s="285"/>
      <c r="R46" s="274"/>
      <c r="S46" s="285"/>
      <c r="T46" s="285"/>
      <c r="U46" s="285"/>
      <c r="V46" s="285"/>
      <c r="W46" s="285"/>
      <c r="X46" s="285"/>
      <c r="Y46" s="285"/>
      <c r="Z46" s="285"/>
      <c r="AA46" s="285"/>
      <c r="AB46" s="285"/>
      <c r="AC46" s="285"/>
      <c r="AD46" s="274"/>
      <c r="AE46" s="534"/>
      <c r="AF46" s="299"/>
      <c r="AG46" s="1275"/>
      <c r="AH46" s="377"/>
      <c r="AI46" s="2079"/>
      <c r="AJ46" s="297"/>
      <c r="AK46" s="102"/>
      <c r="AL46" s="12"/>
      <c r="AM46" s="100"/>
      <c r="AN46" s="384"/>
    </row>
    <row r="47" spans="1:40">
      <c r="A47" s="301"/>
      <c r="B47" s="360" t="s">
        <v>502</v>
      </c>
      <c r="C47" s="301"/>
      <c r="D47" s="301"/>
      <c r="E47" s="285">
        <f>+'Exhibit I State'!E47+'Exhibit I Federal'!E30</f>
        <v>103</v>
      </c>
      <c r="F47" s="285"/>
      <c r="G47" s="285">
        <f>+'Exhibit I State'!G47+'Exhibit I Federal'!G30</f>
        <v>1321.3000000000002</v>
      </c>
      <c r="H47" s="285"/>
      <c r="I47" s="285">
        <f>+'Exhibit I State'!I47+'Exhibit I Federal'!I30</f>
        <v>9.9999999999909051E-2</v>
      </c>
      <c r="J47" s="274"/>
      <c r="K47" s="285">
        <f>+'Exhibit I State'!K47+'Exhibit I Federal'!K30</f>
        <v>402</v>
      </c>
      <c r="L47" s="274"/>
      <c r="M47" s="285">
        <f>+'Exhibit I State'!M47+'Exhibit I Federal'!M30</f>
        <v>7.5999999999999091</v>
      </c>
      <c r="N47" s="274"/>
      <c r="O47" s="285">
        <f>+'Exhibit I State'!O47+'Exhibit I Federal'!O30</f>
        <v>378.5</v>
      </c>
      <c r="P47" s="274"/>
      <c r="Q47" s="285">
        <v>265.09999999999991</v>
      </c>
      <c r="R47" s="274"/>
      <c r="S47" s="285">
        <v>0.59999999999990905</v>
      </c>
      <c r="T47" s="285"/>
      <c r="U47" s="285">
        <v>164</v>
      </c>
      <c r="V47" s="285"/>
      <c r="W47" s="285">
        <v>21.700000000000273</v>
      </c>
      <c r="X47" s="285"/>
      <c r="Y47" s="285">
        <f>+'Exhibit I State'!Y47</f>
        <v>22.099999999999909</v>
      </c>
      <c r="Z47" s="285"/>
      <c r="AA47" s="285"/>
      <c r="AB47" s="285"/>
      <c r="AC47" s="285">
        <v>0</v>
      </c>
      <c r="AD47" s="274"/>
      <c r="AE47" s="534"/>
      <c r="AF47" s="299">
        <f>ROUND(SUM(E47:AC47),1)</f>
        <v>2686</v>
      </c>
      <c r="AG47" s="1275"/>
      <c r="AH47" s="377"/>
      <c r="AI47" s="2079">
        <f>+'Exhibit I State'!AG47+'Exhibit I Federal'!AG30</f>
        <v>2929.8</v>
      </c>
      <c r="AJ47" s="297"/>
      <c r="AK47" s="102"/>
      <c r="AL47" s="12">
        <f t="shared" si="0"/>
        <v>-243.8</v>
      </c>
      <c r="AM47" s="100"/>
      <c r="AN47" s="559">
        <f>ROUND(IF(AI47=0,1,AL47/ABS(AI47)),3)</f>
        <v>-8.3000000000000004E-2</v>
      </c>
    </row>
    <row r="48" spans="1:40">
      <c r="A48" s="301"/>
      <c r="B48" s="360" t="s">
        <v>504</v>
      </c>
      <c r="C48" s="301"/>
      <c r="D48" s="301"/>
      <c r="E48" s="285">
        <f>+'Exhibit I State'!E48+'Exhibit I Federal'!E31</f>
        <v>0</v>
      </c>
      <c r="F48" s="285"/>
      <c r="G48" s="285">
        <f>+'Exhibit I State'!G48+'Exhibit I Federal'!G31</f>
        <v>0</v>
      </c>
      <c r="H48" s="285"/>
      <c r="I48" s="285">
        <f>+'Exhibit I State'!I48+'Exhibit I Federal'!I31</f>
        <v>0</v>
      </c>
      <c r="J48" s="285"/>
      <c r="K48" s="285">
        <f>+'Exhibit I State'!K48+'Exhibit I Federal'!K31</f>
        <v>0</v>
      </c>
      <c r="L48" s="285"/>
      <c r="M48" s="285">
        <f>+'Exhibit I State'!M48+'Exhibit I Federal'!M31</f>
        <v>0</v>
      </c>
      <c r="N48" s="285"/>
      <c r="O48" s="285">
        <f>+'Exhibit I State'!O48+'Exhibit I Federal'!O31</f>
        <v>0</v>
      </c>
      <c r="P48" s="285"/>
      <c r="Q48" s="285">
        <v>0</v>
      </c>
      <c r="R48" s="274"/>
      <c r="S48" s="285">
        <v>0</v>
      </c>
      <c r="T48" s="285"/>
      <c r="U48" s="285">
        <v>0</v>
      </c>
      <c r="V48" s="285"/>
      <c r="W48" s="285">
        <v>0</v>
      </c>
      <c r="X48" s="285"/>
      <c r="Y48" s="285">
        <f>+'Exhibit I State'!Y48</f>
        <v>0</v>
      </c>
      <c r="Z48" s="285"/>
      <c r="AA48" s="285"/>
      <c r="AB48" s="285"/>
      <c r="AC48" s="285">
        <v>0</v>
      </c>
      <c r="AD48" s="274"/>
      <c r="AE48" s="534"/>
      <c r="AF48" s="299">
        <f>ROUND(SUM(E48:AC48),1)</f>
        <v>0</v>
      </c>
      <c r="AG48" s="1275"/>
      <c r="AH48" s="377"/>
      <c r="AI48" s="2079">
        <f>+'Exhibit I State'!AG48+'Exhibit I Federal'!AG31</f>
        <v>0</v>
      </c>
      <c r="AJ48" s="297"/>
      <c r="AK48" s="102"/>
      <c r="AL48" s="12">
        <f t="shared" si="0"/>
        <v>0</v>
      </c>
      <c r="AM48" s="100"/>
      <c r="AN48" s="276">
        <f>ROUND(IF(AI48=0,0,AL48/ABS(AI48)),3)</f>
        <v>0</v>
      </c>
    </row>
    <row r="49" spans="1:44">
      <c r="A49" s="301"/>
      <c r="B49" s="360" t="s">
        <v>505</v>
      </c>
      <c r="C49" s="301"/>
      <c r="D49" s="301"/>
      <c r="E49" s="285">
        <f>+'Exhibit I State'!E49+'Exhibit I Federal'!E32</f>
        <v>0.4</v>
      </c>
      <c r="F49" s="285"/>
      <c r="G49" s="285">
        <f>+'Exhibit I State'!G49+'Exhibit I Federal'!G32</f>
        <v>-0.60000000000000009</v>
      </c>
      <c r="H49" s="285"/>
      <c r="I49" s="285">
        <f>+'Exhibit I State'!I49+'Exhibit I Federal'!I32</f>
        <v>0.5</v>
      </c>
      <c r="J49" s="274"/>
      <c r="K49" s="285">
        <f>+'Exhibit I State'!K49+'Exhibit I Federal'!K32</f>
        <v>0.5</v>
      </c>
      <c r="L49" s="274"/>
      <c r="M49" s="285">
        <f>+'Exhibit I State'!M49+'Exhibit I Federal'!M32</f>
        <v>0.60000000000000009</v>
      </c>
      <c r="N49" s="274"/>
      <c r="O49" s="285">
        <f>+'Exhibit I State'!O49+'Exhibit I Federal'!O32</f>
        <v>0</v>
      </c>
      <c r="P49" s="274"/>
      <c r="Q49" s="285">
        <v>0.5</v>
      </c>
      <c r="R49" s="274"/>
      <c r="S49" s="285">
        <v>0</v>
      </c>
      <c r="T49" s="285"/>
      <c r="U49" s="285">
        <v>5.6</v>
      </c>
      <c r="V49" s="285"/>
      <c r="W49" s="285">
        <v>0.29999999999999982</v>
      </c>
      <c r="X49" s="285"/>
      <c r="Y49" s="285">
        <f>+'Exhibit I State'!Y49</f>
        <v>0</v>
      </c>
      <c r="Z49" s="285"/>
      <c r="AA49" s="285"/>
      <c r="AB49" s="285"/>
      <c r="AC49" s="285">
        <v>0</v>
      </c>
      <c r="AD49" s="274"/>
      <c r="AE49" s="534"/>
      <c r="AF49" s="299">
        <f>ROUND(SUM(E49:AC49),1)</f>
        <v>7.8</v>
      </c>
      <c r="AG49" s="1275"/>
      <c r="AH49" s="377"/>
      <c r="AI49" s="2079">
        <f>+'Exhibit I State'!AG49+'Exhibit I Federal'!AG32</f>
        <v>9.8000000000000007</v>
      </c>
      <c r="AJ49" s="297"/>
      <c r="AK49" s="102"/>
      <c r="AL49" s="12">
        <f t="shared" si="0"/>
        <v>-2</v>
      </c>
      <c r="AM49" s="100"/>
      <c r="AN49" s="573">
        <f>ROUND(IF(AI49=0,1,AL49/ABS(AI49)),3)</f>
        <v>-0.20399999999999999</v>
      </c>
    </row>
    <row r="50" spans="1:44">
      <c r="A50" s="301"/>
      <c r="B50" s="360" t="s">
        <v>420</v>
      </c>
      <c r="C50" s="301"/>
      <c r="D50" s="301"/>
      <c r="E50" s="285">
        <f>+'Exhibit I State'!E50+'Exhibit I Federal'!E33</f>
        <v>0.9</v>
      </c>
      <c r="F50" s="285"/>
      <c r="G50" s="285">
        <f>+'Exhibit I State'!G50+'Exhibit I Federal'!G33</f>
        <v>2.7</v>
      </c>
      <c r="H50" s="285"/>
      <c r="I50" s="285">
        <f>+'Exhibit I State'!I50+'Exhibit I Federal'!I33</f>
        <v>1.8999999999999995</v>
      </c>
      <c r="J50" s="274"/>
      <c r="K50" s="285">
        <f>+'Exhibit I State'!K50+'Exhibit I Federal'!K33</f>
        <v>1</v>
      </c>
      <c r="L50" s="274"/>
      <c r="M50" s="285">
        <f>+'Exhibit I State'!M50+'Exhibit I Federal'!M33</f>
        <v>1.8000000000000007</v>
      </c>
      <c r="N50" s="274"/>
      <c r="O50" s="285">
        <f>+'Exhibit I State'!O50+'Exhibit I Federal'!O33</f>
        <v>0.89999999999999858</v>
      </c>
      <c r="P50" s="274"/>
      <c r="Q50" s="285">
        <v>1.3000000000000007</v>
      </c>
      <c r="R50" s="274"/>
      <c r="S50" s="285">
        <v>1</v>
      </c>
      <c r="T50" s="285"/>
      <c r="U50" s="285">
        <v>0.80000000000000071</v>
      </c>
      <c r="V50" s="285"/>
      <c r="W50" s="285">
        <v>1.0999999999999996</v>
      </c>
      <c r="X50" s="285"/>
      <c r="Y50" s="285">
        <f>+'Exhibit I State'!Y50</f>
        <v>1.5</v>
      </c>
      <c r="Z50" s="285"/>
      <c r="AA50" s="285"/>
      <c r="AB50" s="285"/>
      <c r="AC50" s="285">
        <v>0</v>
      </c>
      <c r="AD50" s="274"/>
      <c r="AE50" s="534"/>
      <c r="AF50" s="299">
        <f>ROUND(SUM(E50:AC50),1)</f>
        <v>14.9</v>
      </c>
      <c r="AG50" s="1275"/>
      <c r="AH50" s="377"/>
      <c r="AI50" s="905">
        <f>+'Exhibit I State'!AG50+'Exhibit I Federal'!AG33</f>
        <v>11.9</v>
      </c>
      <c r="AJ50" s="297"/>
      <c r="AK50" s="102"/>
      <c r="AL50" s="12">
        <f t="shared" si="0"/>
        <v>3</v>
      </c>
      <c r="AM50" s="100"/>
      <c r="AN50" s="384">
        <f>ROUND(IF(AI50=0,0,AL50/ABS(AI50)),3)</f>
        <v>0.252</v>
      </c>
    </row>
    <row r="51" spans="1:44">
      <c r="A51" s="301"/>
      <c r="B51" s="360" t="s">
        <v>421</v>
      </c>
      <c r="C51" s="301"/>
      <c r="D51" s="301"/>
      <c r="E51" s="285"/>
      <c r="F51" s="285"/>
      <c r="G51" s="285"/>
      <c r="H51" s="285"/>
      <c r="I51" s="285"/>
      <c r="J51" s="274"/>
      <c r="K51" s="285"/>
      <c r="L51" s="274"/>
      <c r="M51" s="285"/>
      <c r="N51" s="274"/>
      <c r="O51" s="285"/>
      <c r="P51" s="274"/>
      <c r="Q51" s="285"/>
      <c r="R51" s="274"/>
      <c r="S51" s="285"/>
      <c r="T51" s="285"/>
      <c r="U51" s="285"/>
      <c r="V51" s="285"/>
      <c r="W51" s="285"/>
      <c r="X51" s="285"/>
      <c r="Y51" s="285"/>
      <c r="Z51" s="285"/>
      <c r="AA51" s="285"/>
      <c r="AB51" s="285"/>
      <c r="AC51" s="285" t="s">
        <v>103</v>
      </c>
      <c r="AD51" s="274"/>
      <c r="AE51" s="534"/>
      <c r="AF51" s="299"/>
      <c r="AG51" s="1275"/>
      <c r="AH51" s="377"/>
      <c r="AI51" s="2079"/>
      <c r="AJ51" s="297"/>
      <c r="AK51" s="102"/>
      <c r="AL51" s="12"/>
      <c r="AM51" s="100"/>
      <c r="AN51" s="384"/>
    </row>
    <row r="52" spans="1:44">
      <c r="A52" s="301"/>
      <c r="B52" s="360" t="s">
        <v>506</v>
      </c>
      <c r="C52" s="301"/>
      <c r="D52" s="301"/>
      <c r="E52" s="285">
        <f>+'Exhibit I State'!E52+'Exhibit I Federal'!E35</f>
        <v>0</v>
      </c>
      <c r="F52" s="285"/>
      <c r="G52" s="285">
        <f>+'Exhibit I State'!G52+'Exhibit I Federal'!G35</f>
        <v>0</v>
      </c>
      <c r="H52" s="285"/>
      <c r="I52" s="285">
        <f>+'Exhibit I State'!I52+'Exhibit I Federal'!I35</f>
        <v>4.2</v>
      </c>
      <c r="J52" s="274"/>
      <c r="K52" s="285">
        <f>+'Exhibit I State'!K52+'Exhibit I Federal'!K35</f>
        <v>0</v>
      </c>
      <c r="L52" s="274"/>
      <c r="M52" s="285">
        <f>+'Exhibit I State'!M52+'Exhibit I Federal'!M35</f>
        <v>0</v>
      </c>
      <c r="N52" s="274"/>
      <c r="O52" s="285">
        <f>+'Exhibit I State'!O52+'Exhibit I Federal'!O35</f>
        <v>0</v>
      </c>
      <c r="P52" s="274"/>
      <c r="Q52" s="285">
        <v>0</v>
      </c>
      <c r="R52" s="274"/>
      <c r="S52" s="285">
        <v>0</v>
      </c>
      <c r="T52" s="285"/>
      <c r="U52" s="285">
        <v>0</v>
      </c>
      <c r="V52" s="285"/>
      <c r="W52" s="285">
        <v>0</v>
      </c>
      <c r="X52" s="285"/>
      <c r="Y52" s="285">
        <f>+'Exhibit I State'!Y52</f>
        <v>0</v>
      </c>
      <c r="Z52" s="285"/>
      <c r="AA52" s="285"/>
      <c r="AB52" s="285"/>
      <c r="AC52" s="285">
        <v>0</v>
      </c>
      <c r="AD52" s="274"/>
      <c r="AE52" s="534"/>
      <c r="AF52" s="299">
        <f t="shared" ref="AF52:AF56" si="2">ROUND(SUM(E52:AC52),1)</f>
        <v>4.2</v>
      </c>
      <c r="AG52" s="1275"/>
      <c r="AH52" s="377"/>
      <c r="AI52" s="2079">
        <f>+'Exhibit I State'!AG52+'Exhibit I Federal'!AG35</f>
        <v>0</v>
      </c>
      <c r="AJ52" s="297"/>
      <c r="AK52" s="102"/>
      <c r="AL52" s="274">
        <f>ROUND(SUM(+AF52-AI52),1)</f>
        <v>4.2</v>
      </c>
      <c r="AM52" s="274"/>
      <c r="AN52" s="276">
        <f>ROUND(IF(AI52=0,1,AL52/ABS(AI52)),3)</f>
        <v>1</v>
      </c>
    </row>
    <row r="53" spans="1:44">
      <c r="A53" s="301"/>
      <c r="B53" s="360" t="s">
        <v>508</v>
      </c>
      <c r="C53" s="301"/>
      <c r="D53" s="301"/>
      <c r="E53" s="285">
        <f>+'Exhibit I State'!E53+'Exhibit I Federal'!E36</f>
        <v>0</v>
      </c>
      <c r="F53" s="285"/>
      <c r="G53" s="285">
        <f>+'Exhibit I State'!G53+'Exhibit I Federal'!G36</f>
        <v>3.8</v>
      </c>
      <c r="H53" s="285"/>
      <c r="I53" s="285">
        <f>+'Exhibit I State'!I53+'Exhibit I Federal'!I36</f>
        <v>-9.9999999999999645E-2</v>
      </c>
      <c r="J53" s="274"/>
      <c r="K53" s="285">
        <f>+'Exhibit I State'!K53+'Exhibit I Federal'!K36</f>
        <v>1.8999999999999995</v>
      </c>
      <c r="L53" s="274"/>
      <c r="M53" s="285">
        <f>+'Exhibit I State'!M53+'Exhibit I Federal'!M36</f>
        <v>0</v>
      </c>
      <c r="N53" s="274"/>
      <c r="O53" s="285">
        <f>+'Exhibit I State'!O53+'Exhibit I Federal'!O36</f>
        <v>0.20000000000000018</v>
      </c>
      <c r="P53" s="274"/>
      <c r="Q53" s="285">
        <v>0.10000000000000053</v>
      </c>
      <c r="R53" s="274"/>
      <c r="S53" s="285">
        <v>0.5</v>
      </c>
      <c r="T53" s="285"/>
      <c r="U53" s="285">
        <v>1.5</v>
      </c>
      <c r="V53" s="285"/>
      <c r="W53" s="285">
        <v>0.19999999999999929</v>
      </c>
      <c r="X53" s="285"/>
      <c r="Y53" s="285">
        <f>+'Exhibit I State'!Y53</f>
        <v>1</v>
      </c>
      <c r="Z53" s="285"/>
      <c r="AA53" s="285"/>
      <c r="AB53" s="285"/>
      <c r="AC53" s="285">
        <v>0</v>
      </c>
      <c r="AD53" s="274"/>
      <c r="AE53" s="534"/>
      <c r="AF53" s="299">
        <f t="shared" si="2"/>
        <v>9.1</v>
      </c>
      <c r="AG53" s="1275"/>
      <c r="AH53" s="377"/>
      <c r="AI53" s="2079">
        <f>+'Exhibit I State'!AG53+'Exhibit I Federal'!AG36</f>
        <v>9.8000000000000007</v>
      </c>
      <c r="AJ53" s="297"/>
      <c r="AK53" s="102"/>
      <c r="AL53" s="274">
        <f>ROUND(SUM(+AF53-AI53),1)</f>
        <v>-0.7</v>
      </c>
      <c r="AM53" s="274"/>
      <c r="AN53" s="553">
        <f>ROUND(IF(AI53=0,1,AL53/ABS(AI53)),3)</f>
        <v>-7.0999999999999994E-2</v>
      </c>
    </row>
    <row r="54" spans="1:44">
      <c r="A54" s="301"/>
      <c r="B54" s="360" t="s">
        <v>509</v>
      </c>
      <c r="C54" s="301"/>
      <c r="D54" s="301"/>
      <c r="E54" s="285">
        <f>+'Exhibit I State'!E54+'Exhibit I Federal'!E37</f>
        <v>6.2</v>
      </c>
      <c r="F54" s="285"/>
      <c r="G54" s="285">
        <f>+'Exhibit I State'!G54+'Exhibit I Federal'!G37</f>
        <v>8.6000000000000014</v>
      </c>
      <c r="H54" s="285"/>
      <c r="I54" s="285">
        <f>+'Exhibit I State'!I54+'Exhibit I Federal'!I37</f>
        <v>9.5</v>
      </c>
      <c r="J54" s="274"/>
      <c r="K54" s="285">
        <f>+'Exhibit I State'!K54+'Exhibit I Federal'!K37</f>
        <v>7.8000000000000007</v>
      </c>
      <c r="L54" s="274"/>
      <c r="M54" s="285">
        <f>+'Exhibit I State'!M54+'Exhibit I Federal'!M37</f>
        <v>5.2999999999999972</v>
      </c>
      <c r="N54" s="274"/>
      <c r="O54" s="285">
        <f>+'Exhibit I State'!O54+'Exhibit I Federal'!O37</f>
        <v>7.0999999999999979</v>
      </c>
      <c r="P54" s="274"/>
      <c r="Q54" s="285">
        <v>8.7999999999999972</v>
      </c>
      <c r="R54" s="274"/>
      <c r="S54" s="285">
        <v>5.6000000000000014</v>
      </c>
      <c r="T54" s="285"/>
      <c r="U54" s="285">
        <v>6.6999999999999957</v>
      </c>
      <c r="V54" s="285"/>
      <c r="W54" s="285">
        <v>5.7000000000000028</v>
      </c>
      <c r="X54" s="285"/>
      <c r="Y54" s="285">
        <f>+'Exhibit I State'!Y54</f>
        <v>11.200000000000003</v>
      </c>
      <c r="Z54" s="285"/>
      <c r="AA54" s="285"/>
      <c r="AB54" s="285"/>
      <c r="AC54" s="285">
        <v>0</v>
      </c>
      <c r="AD54" s="274"/>
      <c r="AE54" s="534"/>
      <c r="AF54" s="299">
        <f t="shared" si="2"/>
        <v>82.5</v>
      </c>
      <c r="AG54" s="1275"/>
      <c r="AH54" s="377"/>
      <c r="AI54" s="2079">
        <f>+'Exhibit I State'!AG54+'Exhibit I Federal'!AG37</f>
        <v>93.4</v>
      </c>
      <c r="AJ54" s="297"/>
      <c r="AK54" s="102"/>
      <c r="AL54" s="274">
        <f>ROUND(SUM(+AF54-AI54),1)</f>
        <v>-10.9</v>
      </c>
      <c r="AM54" s="274"/>
      <c r="AN54" s="276">
        <f>ROUND(IF(AI54=0,1,AL54/ABS(AI54)),3)</f>
        <v>-0.11700000000000001</v>
      </c>
    </row>
    <row r="55" spans="1:44">
      <c r="A55" s="301"/>
      <c r="B55" s="360" t="s">
        <v>511</v>
      </c>
      <c r="C55" s="301"/>
      <c r="D55" s="301"/>
      <c r="E55" s="285">
        <f>+'Exhibit I State'!E55</f>
        <v>0</v>
      </c>
      <c r="F55" s="285"/>
      <c r="G55" s="285">
        <f>+'Exhibit I State'!G55</f>
        <v>0</v>
      </c>
      <c r="H55" s="285"/>
      <c r="I55" s="285">
        <f>+'Exhibit I State'!I55</f>
        <v>0</v>
      </c>
      <c r="J55" s="274"/>
      <c r="K55" s="285">
        <f>+'Exhibit I State'!K55</f>
        <v>0.1</v>
      </c>
      <c r="L55" s="274"/>
      <c r="M55" s="285">
        <f>+'Exhibit I State'!M55</f>
        <v>0</v>
      </c>
      <c r="N55" s="274"/>
      <c r="O55" s="285">
        <f>+'Exhibit I State'!O55</f>
        <v>0</v>
      </c>
      <c r="P55" s="274"/>
      <c r="Q55" s="285">
        <v>0</v>
      </c>
      <c r="R55" s="274"/>
      <c r="S55" s="285">
        <v>0</v>
      </c>
      <c r="T55" s="285"/>
      <c r="U55" s="285">
        <v>0</v>
      </c>
      <c r="V55" s="285"/>
      <c r="W55" s="285">
        <v>0</v>
      </c>
      <c r="X55" s="285"/>
      <c r="Y55" s="285">
        <f>+'Exhibit I State'!Y55</f>
        <v>0</v>
      </c>
      <c r="Z55" s="285"/>
      <c r="AA55" s="285"/>
      <c r="AB55" s="285"/>
      <c r="AC55" s="285">
        <v>0</v>
      </c>
      <c r="AD55" s="274"/>
      <c r="AE55" s="534"/>
      <c r="AF55" s="299">
        <f t="shared" si="2"/>
        <v>0.1</v>
      </c>
      <c r="AG55" s="1275"/>
      <c r="AH55" s="377"/>
      <c r="AI55" s="2079">
        <f>+'Exhibit I State'!AG55</f>
        <v>0</v>
      </c>
      <c r="AJ55" s="297"/>
      <c r="AK55" s="102"/>
      <c r="AL55" s="274">
        <f>ROUND(SUM(+AF55-AI55),1)</f>
        <v>0.1</v>
      </c>
      <c r="AM55" s="274"/>
      <c r="AN55" s="276">
        <f>ROUND(IF(AI55=0,1,AL55/ABS(AI55)),3)</f>
        <v>1</v>
      </c>
    </row>
    <row r="56" spans="1:44">
      <c r="A56" s="301"/>
      <c r="B56" s="360" t="s">
        <v>512</v>
      </c>
      <c r="C56" s="301"/>
      <c r="D56" s="301"/>
      <c r="E56" s="285">
        <f>+'Exhibit I State'!E56+'Exhibit I Federal'!E38</f>
        <v>0.4</v>
      </c>
      <c r="F56" s="285"/>
      <c r="G56" s="285">
        <f>+'Exhibit I State'!G56+'Exhibit I Federal'!G38</f>
        <v>9.9999999999999978E-2</v>
      </c>
      <c r="H56" s="285"/>
      <c r="I56" s="285">
        <f>+'Exhibit I State'!I56+'Exhibit I Federal'!I38</f>
        <v>0.4</v>
      </c>
      <c r="J56" s="274"/>
      <c r="K56" s="285">
        <f>+'Exhibit I State'!K56+'Exhibit I Federal'!K38</f>
        <v>2.2000000000000002</v>
      </c>
      <c r="L56" s="274"/>
      <c r="M56" s="285">
        <f>+'Exhibit I State'!M56+'Exhibit I Federal'!M38</f>
        <v>0.5</v>
      </c>
      <c r="N56" s="274"/>
      <c r="O56" s="285">
        <f>+'Exhibit I State'!O56+'Exhibit I Federal'!O38</f>
        <v>1.9999999999999991</v>
      </c>
      <c r="P56" s="274"/>
      <c r="Q56" s="285">
        <v>0.20000000000000018</v>
      </c>
      <c r="R56" s="274"/>
      <c r="S56" s="285">
        <v>2.2000000000000002</v>
      </c>
      <c r="T56" s="285"/>
      <c r="U56" s="285">
        <v>1.1999999999999993</v>
      </c>
      <c r="V56" s="285"/>
      <c r="W56" s="285">
        <v>0.40000000000000036</v>
      </c>
      <c r="X56" s="285"/>
      <c r="Y56" s="285">
        <f>+'Exhibit I State'!Y56</f>
        <v>0</v>
      </c>
      <c r="Z56" s="285"/>
      <c r="AA56" s="285"/>
      <c r="AB56" s="285"/>
      <c r="AC56" s="285">
        <v>0</v>
      </c>
      <c r="AD56" s="274"/>
      <c r="AE56" s="534"/>
      <c r="AF56" s="299">
        <f t="shared" si="2"/>
        <v>9.6</v>
      </c>
      <c r="AG56" s="1275"/>
      <c r="AH56" s="377"/>
      <c r="AI56" s="2079">
        <f>+'Exhibit I State'!AG56+'Exhibit I Federal'!AG38</f>
        <v>14.5</v>
      </c>
      <c r="AJ56" s="297"/>
      <c r="AK56" s="102"/>
      <c r="AL56" s="12">
        <f t="shared" si="0"/>
        <v>-4.9000000000000004</v>
      </c>
      <c r="AM56" s="100"/>
      <c r="AN56" s="559">
        <f>ROUND(IF(AI56=0,1,AL56/ABS(AI56)),3)</f>
        <v>-0.33800000000000002</v>
      </c>
    </row>
    <row r="57" spans="1:44">
      <c r="A57" s="301"/>
      <c r="B57" s="360" t="s">
        <v>513</v>
      </c>
      <c r="C57" s="301"/>
      <c r="D57" s="301"/>
      <c r="E57" s="285">
        <f>+'Exhibit I State'!E57+'Exhibit I Federal'!E39</f>
        <v>1</v>
      </c>
      <c r="F57" s="285"/>
      <c r="G57" s="285">
        <f>+'Exhibit I State'!G57+'Exhibit I Federal'!G39</f>
        <v>1.7999999999999998</v>
      </c>
      <c r="H57" s="285"/>
      <c r="I57" s="285">
        <f>+'Exhibit I State'!I57+'Exhibit I Federal'!I39</f>
        <v>2.1000000000000005</v>
      </c>
      <c r="J57" s="274"/>
      <c r="K57" s="285">
        <f>+'Exhibit I State'!K57+'Exhibit I Federal'!K39</f>
        <v>1.2999999999999998</v>
      </c>
      <c r="L57" s="274"/>
      <c r="M57" s="285">
        <f>+'Exhibit I State'!M57+'Exhibit I Federal'!M39</f>
        <v>0.59999999999999964</v>
      </c>
      <c r="N57" s="274"/>
      <c r="O57" s="285">
        <f>+'Exhibit I State'!O57+'Exhibit I Federal'!O39</f>
        <v>1.8999999999999995</v>
      </c>
      <c r="P57" s="274"/>
      <c r="Q57" s="285">
        <v>3.8000000000000007</v>
      </c>
      <c r="R57" s="274"/>
      <c r="S57" s="285">
        <v>3.4000000000000004</v>
      </c>
      <c r="T57" s="285"/>
      <c r="U57" s="285">
        <v>4.7000000000000011</v>
      </c>
      <c r="V57" s="285"/>
      <c r="W57" s="285">
        <v>6.3999999999999986</v>
      </c>
      <c r="X57" s="285"/>
      <c r="Y57" s="285">
        <f>+'Exhibit I State'!Y57</f>
        <v>2.8000000000000007</v>
      </c>
      <c r="Z57" s="285"/>
      <c r="AA57" s="285"/>
      <c r="AB57" s="285"/>
      <c r="AC57" s="285">
        <v>0</v>
      </c>
      <c r="AD57" s="274"/>
      <c r="AE57" s="534"/>
      <c r="AF57" s="299">
        <f>ROUND(SUM(E57:AC57),1)</f>
        <v>29.8</v>
      </c>
      <c r="AG57" s="1275"/>
      <c r="AH57" s="377"/>
      <c r="AI57" s="905">
        <f>+'Exhibit I State'!AG57+'Exhibit I Federal'!AG39</f>
        <v>68.699999999999989</v>
      </c>
      <c r="AJ57" s="297"/>
      <c r="AK57" s="102"/>
      <c r="AL57" s="12">
        <f t="shared" si="0"/>
        <v>-38.9</v>
      </c>
      <c r="AM57" s="100"/>
      <c r="AN57" s="880">
        <f>ROUND(IF(AI57=0,0,AL57/ABS(AI57)),3)</f>
        <v>-0.56599999999999995</v>
      </c>
    </row>
    <row r="58" spans="1:44">
      <c r="A58" s="301"/>
      <c r="B58" s="360" t="s">
        <v>432</v>
      </c>
      <c r="C58" s="301"/>
      <c r="D58" s="301"/>
      <c r="E58" s="285">
        <f>+'Exhibit I State'!E58+'Exhibit I Federal'!E40</f>
        <v>0.3</v>
      </c>
      <c r="F58" s="285"/>
      <c r="G58" s="285">
        <f>+'Exhibit I State'!G58+'Exhibit I Federal'!G40</f>
        <v>0</v>
      </c>
      <c r="H58" s="285"/>
      <c r="I58" s="285">
        <f>+'Exhibit I State'!I58+'Exhibit I Federal'!I40</f>
        <v>0.20000000000000004</v>
      </c>
      <c r="J58" s="274"/>
      <c r="K58" s="285">
        <f>+'Exhibit I State'!K58+'Exhibit I Federal'!K40</f>
        <v>9.9999999999999978E-2</v>
      </c>
      <c r="L58" s="274"/>
      <c r="M58" s="285">
        <f>+'Exhibit I State'!M58+'Exhibit I Federal'!M40</f>
        <v>0.19999999999999996</v>
      </c>
      <c r="N58" s="274"/>
      <c r="O58" s="285">
        <f>+'Exhibit I State'!O58+'Exhibit I Federal'!O40</f>
        <v>0</v>
      </c>
      <c r="P58" s="274"/>
      <c r="Q58" s="285">
        <v>0.8</v>
      </c>
      <c r="R58" s="274"/>
      <c r="S58" s="285">
        <v>0.20000000000000004</v>
      </c>
      <c r="T58" s="285"/>
      <c r="U58" s="285">
        <v>0</v>
      </c>
      <c r="V58" s="285"/>
      <c r="W58" s="285">
        <v>0</v>
      </c>
      <c r="X58" s="285"/>
      <c r="Y58" s="285">
        <f>+'Exhibit I State'!Y58+'Exhibit I Federal'!Y40</f>
        <v>9.9999999999999867E-2</v>
      </c>
      <c r="Z58" s="285"/>
      <c r="AA58" s="285"/>
      <c r="AB58" s="285"/>
      <c r="AC58" s="285">
        <v>0</v>
      </c>
      <c r="AD58" s="274"/>
      <c r="AE58" s="534"/>
      <c r="AF58" s="299">
        <f>ROUND(SUM(E58:AC58),1)</f>
        <v>1.9</v>
      </c>
      <c r="AG58" s="1275"/>
      <c r="AH58" s="377"/>
      <c r="AI58" s="2079">
        <f>+'Exhibit I State'!AG58+'Exhibit I Federal'!AG40</f>
        <v>0.8</v>
      </c>
      <c r="AJ58" s="297"/>
      <c r="AK58" s="102"/>
      <c r="AL58" s="12">
        <f t="shared" si="0"/>
        <v>1.1000000000000001</v>
      </c>
      <c r="AM58" s="100"/>
      <c r="AN58" s="553">
        <f>ROUND(IF(AI58=0,1,AL58/ABS(AI58)),3)</f>
        <v>1.375</v>
      </c>
    </row>
    <row r="59" spans="1:44" s="3" customFormat="1">
      <c r="B59" s="88" t="s">
        <v>534</v>
      </c>
      <c r="E59" s="72">
        <f>ROUND(SUM(E35:E58),1)</f>
        <v>180</v>
      </c>
      <c r="F59" s="13"/>
      <c r="G59" s="72">
        <f>ROUND(SUM(G35:G58),1)</f>
        <v>1412.4</v>
      </c>
      <c r="H59" s="404"/>
      <c r="I59" s="72">
        <f>ROUND(SUM(I35:I58),1)</f>
        <v>98.3</v>
      </c>
      <c r="J59" s="13"/>
      <c r="K59" s="72">
        <f>ROUND(SUM(K35:K58),1)</f>
        <v>497.4</v>
      </c>
      <c r="L59" s="13"/>
      <c r="M59" s="72">
        <f>ROUND(SUM(M35:M58),1)</f>
        <v>101.2</v>
      </c>
      <c r="N59" s="13"/>
      <c r="O59" s="72">
        <f>ROUND(SUM(O35:O58),1)</f>
        <v>485.7</v>
      </c>
      <c r="P59" s="13"/>
      <c r="Q59" s="72">
        <f>ROUND(SUM(Q35:Q58),1)</f>
        <v>352.8</v>
      </c>
      <c r="R59" s="13"/>
      <c r="S59" s="72">
        <f>ROUND(SUM(S35:S58),1)</f>
        <v>95.3</v>
      </c>
      <c r="T59" s="13"/>
      <c r="U59" s="72">
        <f>ROUND(SUM(U35:U58),1)</f>
        <v>255.3</v>
      </c>
      <c r="V59" s="13"/>
      <c r="W59" s="72">
        <f>ROUND(SUM(W35:W58),1)</f>
        <v>100.8</v>
      </c>
      <c r="X59" s="13"/>
      <c r="Y59" s="72">
        <f>ROUND(SUM(Y35:Y58),1)</f>
        <v>106.7</v>
      </c>
      <c r="Z59" s="13"/>
      <c r="AA59" s="72">
        <f>ROUND(SUM(AA35:AA58),1)</f>
        <v>0</v>
      </c>
      <c r="AB59" s="13"/>
      <c r="AC59" s="72">
        <f>ROUND(SUM(AC35:AC58),1)</f>
        <v>0</v>
      </c>
      <c r="AD59" s="13"/>
      <c r="AE59" s="14"/>
      <c r="AF59" s="72">
        <f>ROUND(SUM(AF35:AF58),1)</f>
        <v>3685.9</v>
      </c>
      <c r="AG59" s="1266"/>
      <c r="AH59" s="13"/>
      <c r="AI59" s="72">
        <f>ROUND(SUM(AI35:AI58),1)</f>
        <v>3983.6</v>
      </c>
      <c r="AJ59" s="18"/>
      <c r="AK59" s="102"/>
      <c r="AL59" s="72">
        <f>ROUND(SUM(AL35:AL58),1)</f>
        <v>-297.7</v>
      </c>
      <c r="AM59" s="40"/>
      <c r="AN59" s="427">
        <f>ROUND(SUM(AL59/AI59),3)</f>
        <v>-7.4999999999999997E-2</v>
      </c>
    </row>
    <row r="60" spans="1:44">
      <c r="A60" s="301"/>
      <c r="B60" s="88"/>
      <c r="C60" s="301"/>
      <c r="D60" s="301"/>
      <c r="E60" s="274"/>
      <c r="F60" s="274"/>
      <c r="G60" s="274"/>
      <c r="H60" s="299"/>
      <c r="I60" s="274"/>
      <c r="J60" s="274"/>
      <c r="K60" s="274"/>
      <c r="L60" s="274"/>
      <c r="M60" s="274"/>
      <c r="N60" s="274"/>
      <c r="O60" s="274"/>
      <c r="P60" s="274"/>
      <c r="Q60" s="274"/>
      <c r="R60" s="274"/>
      <c r="S60" s="274"/>
      <c r="T60" s="274"/>
      <c r="U60" s="274"/>
      <c r="V60" s="274"/>
      <c r="W60" s="274"/>
      <c r="X60" s="274"/>
      <c r="Y60" s="274"/>
      <c r="Z60" s="274"/>
      <c r="AA60" s="274"/>
      <c r="AB60" s="274"/>
      <c r="AC60" s="274"/>
      <c r="AD60" s="274"/>
      <c r="AE60" s="534"/>
      <c r="AF60" s="299"/>
      <c r="AG60" s="1264"/>
      <c r="AH60" s="274"/>
      <c r="AI60" s="274"/>
      <c r="AJ60" s="297"/>
      <c r="AK60" s="102"/>
      <c r="AL60" s="12"/>
      <c r="AM60" s="41"/>
      <c r="AN60" s="101"/>
    </row>
    <row r="61" spans="1:44">
      <c r="A61" s="301"/>
      <c r="B61" s="301" t="s">
        <v>515</v>
      </c>
      <c r="C61" s="301"/>
      <c r="D61" s="301"/>
      <c r="E61" s="299">
        <f>+'Exhibit I State'!E61+'Exhibit I Federal'!E43</f>
        <v>253.5</v>
      </c>
      <c r="F61" s="299"/>
      <c r="G61" s="299">
        <f>+'Exhibit I State'!G61+'Exhibit I Federal'!G43</f>
        <v>163.6</v>
      </c>
      <c r="H61" s="12"/>
      <c r="I61" s="299">
        <f>+'Exhibit I State'!I61+'Exhibit I Federal'!I43</f>
        <v>190.69999999999996</v>
      </c>
      <c r="J61" s="274"/>
      <c r="K61" s="299">
        <f>+'Exhibit I State'!K61+'Exhibit I Federal'!K43</f>
        <v>182.20000000000002</v>
      </c>
      <c r="L61" s="274"/>
      <c r="M61" s="299">
        <f>+'Exhibit I State'!M61+'Exhibit I Federal'!M43</f>
        <v>299.3</v>
      </c>
      <c r="N61" s="274"/>
      <c r="O61" s="299">
        <f>+'Exhibit I State'!O61+'Exhibit I Federal'!O43</f>
        <v>177.5</v>
      </c>
      <c r="P61" s="274"/>
      <c r="Q61" s="299">
        <v>225.90000000000009</v>
      </c>
      <c r="R61" s="274"/>
      <c r="S61" s="299">
        <v>429.69999999999982</v>
      </c>
      <c r="T61" s="299"/>
      <c r="U61" s="299">
        <v>241.09999999999991</v>
      </c>
      <c r="V61" s="299"/>
      <c r="W61" s="299">
        <v>264.40000000000009</v>
      </c>
      <c r="X61" s="299"/>
      <c r="Y61" s="299">
        <f>+'Exhibit I State'!Y61+'Exhibit I Federal'!Y43</f>
        <v>218.7000000000001</v>
      </c>
      <c r="Z61" s="299"/>
      <c r="AA61" s="299"/>
      <c r="AB61" s="299"/>
      <c r="AC61" s="299">
        <v>0</v>
      </c>
      <c r="AD61" s="274"/>
      <c r="AE61" s="534"/>
      <c r="AF61" s="274">
        <f>ROUND(SUM(E61:AC61),1)</f>
        <v>2646.6</v>
      </c>
      <c r="AG61" s="1264"/>
      <c r="AH61" s="274"/>
      <c r="AI61" s="274">
        <f>+'Exhibit I State'!AG61+'Exhibit I Federal'!AG43</f>
        <v>2548.8999999999996</v>
      </c>
      <c r="AJ61" s="297"/>
      <c r="AK61" s="103"/>
      <c r="AL61" s="1092">
        <f>ROUND(SUM(+AF61-AI61),1)</f>
        <v>97.7</v>
      </c>
      <c r="AM61" s="41"/>
      <c r="AN61" s="1093">
        <f>ROUND(SUM(AL61/AI61),3)</f>
        <v>3.7999999999999999E-2</v>
      </c>
    </row>
    <row r="62" spans="1:44">
      <c r="A62" s="301"/>
      <c r="B62" s="301"/>
      <c r="C62" s="301"/>
      <c r="D62" s="301"/>
      <c r="E62" s="629"/>
      <c r="F62" s="274"/>
      <c r="G62" s="629"/>
      <c r="H62" s="274"/>
      <c r="I62" s="629"/>
      <c r="J62" s="274"/>
      <c r="K62" s="629"/>
      <c r="L62" s="274"/>
      <c r="M62" s="629"/>
      <c r="N62" s="274"/>
      <c r="O62" s="629"/>
      <c r="P62" s="274"/>
      <c r="Q62" s="629"/>
      <c r="R62" s="274"/>
      <c r="S62" s="629"/>
      <c r="T62" s="274"/>
      <c r="U62" s="629"/>
      <c r="V62" s="274"/>
      <c r="W62" s="629"/>
      <c r="X62" s="274"/>
      <c r="Y62" s="629"/>
      <c r="Z62" s="274"/>
      <c r="AA62" s="629"/>
      <c r="AB62" s="274"/>
      <c r="AC62" s="629"/>
      <c r="AD62" s="274"/>
      <c r="AE62" s="534"/>
      <c r="AF62" s="629"/>
      <c r="AG62" s="1264"/>
      <c r="AH62" s="274"/>
      <c r="AI62" s="629"/>
      <c r="AJ62" s="274"/>
      <c r="AK62" s="103"/>
      <c r="AL62" s="12"/>
      <c r="AN62" s="101"/>
    </row>
    <row r="63" spans="1:44">
      <c r="A63" s="301"/>
      <c r="B63" s="3" t="s">
        <v>571</v>
      </c>
      <c r="C63" s="301"/>
      <c r="D63" s="301"/>
      <c r="E63" s="622">
        <f>ROUND(SUM(+E59+E61+E31),1)</f>
        <v>531.9</v>
      </c>
      <c r="F63" s="13"/>
      <c r="G63" s="622">
        <f>ROUND(SUM(+G59+G61+G31),1)</f>
        <v>1667.1</v>
      </c>
      <c r="H63" s="13"/>
      <c r="I63" s="622">
        <f>ROUND(SUM(+I59+I61+I31),1)</f>
        <v>436.6</v>
      </c>
      <c r="J63" s="13"/>
      <c r="K63" s="622">
        <f>ROUND(SUM(+K59+K61+K31),1)</f>
        <v>804.4</v>
      </c>
      <c r="L63" s="13"/>
      <c r="M63" s="622">
        <f>ROUND(SUM(+M59+M61+M31),1)</f>
        <v>528.1</v>
      </c>
      <c r="N63" s="13"/>
      <c r="O63" s="622">
        <f>ROUND(SUM(+O59+O61+O31),1)</f>
        <v>818.4</v>
      </c>
      <c r="P63" s="13"/>
      <c r="Q63" s="622">
        <f>ROUND(SUM(+Q59+Q61+Q31),1)</f>
        <v>699.2</v>
      </c>
      <c r="R63" s="13"/>
      <c r="S63" s="1089">
        <f>ROUND(SUM(+S59+S61+S31),1)</f>
        <v>645.4</v>
      </c>
      <c r="T63" s="13"/>
      <c r="U63" s="1089">
        <f>ROUND(SUM(+U59+U61+U31),1)</f>
        <v>637.6</v>
      </c>
      <c r="V63" s="13"/>
      <c r="W63" s="1089">
        <f>ROUND(SUM(+W59+W61+W31),1)</f>
        <v>482.7</v>
      </c>
      <c r="X63" s="13"/>
      <c r="Y63" s="1089">
        <f>ROUND(SUM(+Y59+Y61+Y31),1)</f>
        <v>441.5</v>
      </c>
      <c r="Z63" s="13"/>
      <c r="AA63" s="1089">
        <f>ROUND(SUM(+AA59+AA61+AA31),1)</f>
        <v>0</v>
      </c>
      <c r="AB63" s="424"/>
      <c r="AC63" s="1089">
        <f>ROUND(SUM(+AC59+AC61+AC31),1)</f>
        <v>0</v>
      </c>
      <c r="AD63" s="13"/>
      <c r="AE63" s="14"/>
      <c r="AF63" s="1089">
        <f>ROUND(SUM(+AF59+AF61+AF31),1)</f>
        <v>7692.9</v>
      </c>
      <c r="AG63" s="1266"/>
      <c r="AH63" s="13"/>
      <c r="AI63" s="1089">
        <f>ROUND(SUM(+AI59+AI61+AI31),1)</f>
        <v>7924.9</v>
      </c>
      <c r="AJ63" s="18"/>
      <c r="AK63" s="103"/>
      <c r="AL63" s="1089">
        <f>ROUND(SUM(+AL59+AL61+AL31),1)</f>
        <v>-232</v>
      </c>
      <c r="AM63" s="40"/>
      <c r="AN63" s="378">
        <f>ROUND(SUM(AL63/AI63),3)</f>
        <v>-2.9000000000000001E-2</v>
      </c>
      <c r="AO63" s="3"/>
      <c r="AP63" s="40"/>
      <c r="AQ63" s="3"/>
      <c r="AR63" s="3"/>
    </row>
    <row r="64" spans="1:44">
      <c r="A64" s="301"/>
      <c r="B64" s="301"/>
      <c r="C64" s="301"/>
      <c r="D64" s="301"/>
      <c r="E64" s="629"/>
      <c r="F64" s="274"/>
      <c r="G64" s="629"/>
      <c r="H64" s="274"/>
      <c r="I64" s="629"/>
      <c r="J64" s="274"/>
      <c r="K64" s="629"/>
      <c r="L64" s="274"/>
      <c r="M64" s="629"/>
      <c r="N64" s="274"/>
      <c r="O64" s="629"/>
      <c r="P64" s="274"/>
      <c r="Q64" s="629"/>
      <c r="R64" s="274"/>
      <c r="S64" s="629"/>
      <c r="T64" s="274"/>
      <c r="U64" s="629"/>
      <c r="V64" s="274"/>
      <c r="W64" s="629"/>
      <c r="X64" s="274"/>
      <c r="Y64" s="629"/>
      <c r="Z64" s="274"/>
      <c r="AA64" s="629"/>
      <c r="AB64" s="274"/>
      <c r="AC64" s="629"/>
      <c r="AD64" s="274"/>
      <c r="AE64" s="534"/>
      <c r="AF64" s="629"/>
      <c r="AG64" s="1264"/>
      <c r="AH64" s="274"/>
      <c r="AI64" s="629"/>
      <c r="AJ64" s="274"/>
      <c r="AK64" s="103"/>
      <c r="AL64" s="12"/>
      <c r="AN64" s="101"/>
    </row>
    <row r="65" spans="1:44">
      <c r="A65" s="301"/>
      <c r="B65" s="3" t="s">
        <v>122</v>
      </c>
      <c r="C65" s="301"/>
      <c r="D65" s="30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534"/>
      <c r="AF65" s="274"/>
      <c r="AG65" s="1264"/>
      <c r="AH65" s="274"/>
      <c r="AI65" s="274"/>
      <c r="AJ65" s="274"/>
      <c r="AK65" s="103"/>
      <c r="AL65" s="12"/>
      <c r="AN65" s="101"/>
    </row>
    <row r="66" spans="1:44">
      <c r="A66" s="301"/>
      <c r="B66" s="301" t="s">
        <v>459</v>
      </c>
      <c r="C66" s="301"/>
      <c r="D66" s="301"/>
      <c r="E66" s="274"/>
      <c r="F66" s="274"/>
      <c r="G66" s="274"/>
      <c r="H66" s="274"/>
      <c r="I66" s="274"/>
      <c r="J66" s="274"/>
      <c r="K66" s="274"/>
      <c r="L66" s="274"/>
      <c r="M66" s="274"/>
      <c r="N66" s="274"/>
      <c r="O66" s="274"/>
      <c r="P66" s="274"/>
      <c r="Q66" s="274"/>
      <c r="R66" s="274"/>
      <c r="S66" s="274"/>
      <c r="T66" s="274"/>
      <c r="U66" s="274"/>
      <c r="V66" s="274"/>
      <c r="W66" s="274"/>
      <c r="X66" s="274"/>
      <c r="Y66" s="274"/>
      <c r="Z66" s="274"/>
      <c r="AA66" s="274" t="s">
        <v>103</v>
      </c>
      <c r="AB66" s="274"/>
      <c r="AC66" s="274"/>
      <c r="AD66" s="274"/>
      <c r="AE66" s="534"/>
      <c r="AF66" s="297"/>
      <c r="AG66" s="1264"/>
      <c r="AH66" s="274"/>
      <c r="AI66" s="274"/>
      <c r="AJ66" s="274"/>
      <c r="AK66" s="103"/>
      <c r="AL66" s="12"/>
      <c r="AN66" s="101"/>
    </row>
    <row r="67" spans="1:44">
      <c r="A67" s="301"/>
      <c r="B67" s="301" t="s">
        <v>124</v>
      </c>
      <c r="C67" s="301"/>
      <c r="D67" s="301"/>
      <c r="E67" s="299">
        <f>+'Exhibit I State'!E67+'Exhibit I Federal'!E49</f>
        <v>4.4000000000000004</v>
      </c>
      <c r="F67" s="299"/>
      <c r="G67" s="299">
        <f>+'Exhibit I State'!G67+'Exhibit I Federal'!G49</f>
        <v>9.6999999999999993</v>
      </c>
      <c r="H67" s="299"/>
      <c r="I67" s="299">
        <f>+'Exhibit I State'!I67+'Exhibit I Federal'!I49</f>
        <v>23.900000000000002</v>
      </c>
      <c r="J67" s="274"/>
      <c r="K67" s="299">
        <f>+'Exhibit I State'!K67+'Exhibit I Federal'!K49</f>
        <v>111.30000000000001</v>
      </c>
      <c r="L67" s="274"/>
      <c r="M67" s="299">
        <f>+'Exhibit I State'!M67+'Exhibit I Federal'!M49</f>
        <v>21.299999999999983</v>
      </c>
      <c r="N67" s="274"/>
      <c r="O67" s="299">
        <f>+'Exhibit I State'!O67+'Exhibit I Federal'!O49</f>
        <v>4.2000000000000171</v>
      </c>
      <c r="P67" s="274"/>
      <c r="Q67" s="299">
        <v>8.3999999999999773</v>
      </c>
      <c r="R67" s="274"/>
      <c r="S67" s="299">
        <v>100.19999999999999</v>
      </c>
      <c r="T67" s="299"/>
      <c r="U67" s="299">
        <v>22.600000000000023</v>
      </c>
      <c r="V67" s="299"/>
      <c r="W67" s="299">
        <v>7.3999999999999773</v>
      </c>
      <c r="X67" s="299"/>
      <c r="Y67" s="299">
        <f>+'Exhibit I State'!Y67+'Exhibit I Federal'!Y49</f>
        <v>25.800000000000011</v>
      </c>
      <c r="Z67" s="299"/>
      <c r="AA67" s="299"/>
      <c r="AB67" s="299"/>
      <c r="AC67" s="299">
        <v>0</v>
      </c>
      <c r="AD67" s="274"/>
      <c r="AE67" s="534"/>
      <c r="AF67" s="274">
        <f>ROUND(SUM(E67:AC67),1)</f>
        <v>339.2</v>
      </c>
      <c r="AG67" s="1264"/>
      <c r="AH67" s="274"/>
      <c r="AI67" s="274">
        <f>+'Exhibit I State'!AG67+'Exhibit I Federal'!AG49</f>
        <v>380.5</v>
      </c>
      <c r="AJ67" s="297"/>
      <c r="AK67" s="102"/>
      <c r="AL67" s="12">
        <f>ROUND(SUM(+AF67-AI67),1)</f>
        <v>-41.3</v>
      </c>
      <c r="AM67" s="41"/>
      <c r="AN67" s="559">
        <f>ROUND(IF(AI67=0,1,AL67/ABS(AI67)),3)</f>
        <v>-0.109</v>
      </c>
    </row>
    <row r="68" spans="1:44">
      <c r="A68" s="301"/>
      <c r="B68" s="301" t="s">
        <v>125</v>
      </c>
      <c r="C68" s="301"/>
      <c r="D68" s="301"/>
      <c r="E68" s="299">
        <f>+'Exhibit I State'!E68+'Exhibit I Federal'!E50</f>
        <v>7.5</v>
      </c>
      <c r="F68" s="299"/>
      <c r="G68" s="299">
        <f>+'Exhibit I State'!G68+'Exhibit I Federal'!G50</f>
        <v>6.7999999999999989</v>
      </c>
      <c r="H68" s="299"/>
      <c r="I68" s="299">
        <f>+'Exhibit I State'!I68+'Exhibit I Federal'!I50</f>
        <v>32.900000000000006</v>
      </c>
      <c r="J68" s="274"/>
      <c r="K68" s="299">
        <f>+'Exhibit I State'!K68+'Exhibit I Federal'!K50</f>
        <v>47.099999999999987</v>
      </c>
      <c r="L68" s="274"/>
      <c r="M68" s="299">
        <f>+'Exhibit I State'!M68+'Exhibit I Federal'!M50</f>
        <v>148.19999999999999</v>
      </c>
      <c r="N68" s="274"/>
      <c r="O68" s="299">
        <f>+'Exhibit I State'!O68+'Exhibit I Federal'!O50</f>
        <v>8.1000000000000085</v>
      </c>
      <c r="P68" s="274"/>
      <c r="Q68" s="299">
        <v>46</v>
      </c>
      <c r="R68" s="274"/>
      <c r="S68" s="299">
        <v>254.89999999999998</v>
      </c>
      <c r="T68" s="299"/>
      <c r="U68" s="299">
        <v>78.199999999999989</v>
      </c>
      <c r="V68" s="299"/>
      <c r="W68" s="299">
        <v>146.69999999999999</v>
      </c>
      <c r="X68" s="299"/>
      <c r="Y68" s="299">
        <f>+'Exhibit I State'!Y68+'Exhibit I Federal'!Y50</f>
        <v>41.600000000000023</v>
      </c>
      <c r="Z68" s="299"/>
      <c r="AA68" s="299"/>
      <c r="AB68" s="299"/>
      <c r="AC68" s="299">
        <v>0</v>
      </c>
      <c r="AD68" s="274"/>
      <c r="AE68" s="534"/>
      <c r="AF68" s="274">
        <f>ROUND(SUM(E68:AC68),1)</f>
        <v>818</v>
      </c>
      <c r="AG68" s="1264"/>
      <c r="AH68" s="274"/>
      <c r="AI68" s="274">
        <f>+'Exhibit I State'!AG68+'Exhibit I Federal'!AG50</f>
        <v>766.9</v>
      </c>
      <c r="AJ68" s="297"/>
      <c r="AK68" s="102"/>
      <c r="AL68" s="12">
        <f t="shared" ref="AL68:AL75" si="3">ROUND(SUM(+AF68-AI68),1)</f>
        <v>51.1</v>
      </c>
      <c r="AM68" s="41"/>
      <c r="AN68" s="553">
        <f>ROUND(IF(AI68=0,0,AL68/ABS(AI68)),3)</f>
        <v>6.7000000000000004E-2</v>
      </c>
    </row>
    <row r="69" spans="1:44">
      <c r="A69" s="301"/>
      <c r="B69" s="301" t="s">
        <v>126</v>
      </c>
      <c r="C69" s="301"/>
      <c r="D69" s="301"/>
      <c r="E69" s="299">
        <f>+'Exhibit I State'!E69+'Exhibit I Federal'!E51</f>
        <v>27.9</v>
      </c>
      <c r="F69" s="299"/>
      <c r="G69" s="299">
        <f>+'Exhibit I State'!G69+'Exhibit I Federal'!G51</f>
        <v>18.399999999999999</v>
      </c>
      <c r="H69" s="299"/>
      <c r="I69" s="299">
        <f>+'Exhibit I State'!I69+'Exhibit I Federal'!I51</f>
        <v>48.79999999999999</v>
      </c>
      <c r="J69" s="274"/>
      <c r="K69" s="299">
        <f>+'Exhibit I State'!K69+'Exhibit I Federal'!K51</f>
        <v>30.999999999999993</v>
      </c>
      <c r="L69" s="274"/>
      <c r="M69" s="299">
        <f>+'Exhibit I State'!M69+'Exhibit I Federal'!M51</f>
        <v>74.800000000000011</v>
      </c>
      <c r="N69" s="274"/>
      <c r="O69" s="299">
        <f>+'Exhibit I State'!O69+'Exhibit I Federal'!O51</f>
        <v>86.600000000000023</v>
      </c>
      <c r="P69" s="274"/>
      <c r="Q69" s="299">
        <v>39.600000000000023</v>
      </c>
      <c r="R69" s="274"/>
      <c r="S69" s="299">
        <v>14.399999999999977</v>
      </c>
      <c r="T69" s="299"/>
      <c r="U69" s="299">
        <v>132.89999999999998</v>
      </c>
      <c r="V69" s="299"/>
      <c r="W69" s="299">
        <v>33.300000000000011</v>
      </c>
      <c r="X69" s="299"/>
      <c r="Y69" s="299">
        <f>+'Exhibit I State'!Y69+'Exhibit I Federal'!Y51</f>
        <v>40.500000000000057</v>
      </c>
      <c r="Z69" s="299"/>
      <c r="AA69" s="299"/>
      <c r="AB69" s="299" t="s">
        <v>237</v>
      </c>
      <c r="AC69" s="299">
        <v>0</v>
      </c>
      <c r="AD69" s="274"/>
      <c r="AE69" s="534"/>
      <c r="AF69" s="274">
        <f>ROUND(SUM(E69:AC69),1)</f>
        <v>548.20000000000005</v>
      </c>
      <c r="AG69" s="1264"/>
      <c r="AH69" s="274"/>
      <c r="AI69" s="274">
        <f>+'Exhibit I State'!AG69+'Exhibit I Federal'!AG51</f>
        <v>538.4</v>
      </c>
      <c r="AJ69" s="297"/>
      <c r="AK69" s="102"/>
      <c r="AL69" s="12">
        <f t="shared" si="3"/>
        <v>9.8000000000000007</v>
      </c>
      <c r="AM69" s="41"/>
      <c r="AN69" s="276">
        <f>ROUND(IF(AI69=0,0,AL69/ABS(AI69)),3)</f>
        <v>1.7999999999999999E-2</v>
      </c>
    </row>
    <row r="70" spans="1:44">
      <c r="A70" s="301"/>
      <c r="B70" s="301" t="s">
        <v>127</v>
      </c>
      <c r="C70" s="301"/>
      <c r="D70" s="301"/>
      <c r="E70" s="299"/>
      <c r="F70" s="299"/>
      <c r="G70" s="299"/>
      <c r="H70" s="299"/>
      <c r="I70" s="299"/>
      <c r="J70" s="274"/>
      <c r="K70" s="299"/>
      <c r="L70" s="274"/>
      <c r="M70" s="299"/>
      <c r="N70" s="274"/>
      <c r="O70" s="299"/>
      <c r="P70" s="274"/>
      <c r="Q70" s="299"/>
      <c r="R70" s="274"/>
      <c r="S70" s="299"/>
      <c r="T70" s="299"/>
      <c r="U70" s="299"/>
      <c r="V70" s="299"/>
      <c r="W70" s="299"/>
      <c r="X70" s="299"/>
      <c r="Y70" s="299"/>
      <c r="Z70" s="299"/>
      <c r="AA70" s="299"/>
      <c r="AB70" s="299"/>
      <c r="AC70" s="299"/>
      <c r="AD70" s="274"/>
      <c r="AE70" s="534"/>
      <c r="AF70" s="274" t="s">
        <v>103</v>
      </c>
      <c r="AG70" s="1264"/>
      <c r="AH70" s="274"/>
      <c r="AI70" s="377"/>
      <c r="AJ70" s="274"/>
      <c r="AK70" s="103"/>
      <c r="AL70" s="12" t="s">
        <v>103</v>
      </c>
      <c r="AM70" s="41"/>
      <c r="AN70" s="104" t="s">
        <v>103</v>
      </c>
    </row>
    <row r="71" spans="1:44">
      <c r="A71" s="301"/>
      <c r="B71" s="301" t="s">
        <v>128</v>
      </c>
      <c r="C71" s="3"/>
      <c r="D71" s="301"/>
      <c r="E71" s="299">
        <f>+'Exhibit I State'!E71+'Exhibit I Federal'!E53</f>
        <v>0</v>
      </c>
      <c r="F71" s="299"/>
      <c r="G71" s="299">
        <f>+'Exhibit I State'!G71+'Exhibit I Federal'!G53</f>
        <v>0</v>
      </c>
      <c r="H71" s="299"/>
      <c r="I71" s="299">
        <f>+'Exhibit I State'!I71+'Exhibit I Federal'!I53</f>
        <v>0</v>
      </c>
      <c r="J71" s="274"/>
      <c r="K71" s="299">
        <f>+'Exhibit I State'!K71+'Exhibit I Federal'!K53</f>
        <v>0</v>
      </c>
      <c r="L71" s="274"/>
      <c r="M71" s="299">
        <f>+'Exhibit I State'!M71+'Exhibit I Federal'!M53</f>
        <v>0</v>
      </c>
      <c r="N71" s="274"/>
      <c r="O71" s="299">
        <f>+'Exhibit I State'!O71+'Exhibit I Federal'!O53</f>
        <v>0</v>
      </c>
      <c r="P71" s="274"/>
      <c r="Q71" s="299">
        <v>0</v>
      </c>
      <c r="R71" s="274"/>
      <c r="S71" s="299">
        <v>0</v>
      </c>
      <c r="T71" s="299"/>
      <c r="U71" s="299">
        <v>0</v>
      </c>
      <c r="V71" s="299"/>
      <c r="W71" s="299">
        <v>0</v>
      </c>
      <c r="X71" s="299"/>
      <c r="Y71" s="299">
        <f>+'Exhibit I State'!Y71+'Exhibit I Federal'!Y53</f>
        <v>0</v>
      </c>
      <c r="Z71" s="299"/>
      <c r="AA71" s="299"/>
      <c r="AB71" s="299"/>
      <c r="AC71" s="299">
        <v>0</v>
      </c>
      <c r="AD71" s="274"/>
      <c r="AE71" s="534"/>
      <c r="AF71" s="274">
        <f t="shared" ref="AF71:AF74" si="4">ROUND(SUM(E71:AC71),1)</f>
        <v>0</v>
      </c>
      <c r="AG71" s="1264"/>
      <c r="AH71" s="274"/>
      <c r="AI71" s="377">
        <f>+'Exhibit I State'!AG71+'Exhibit I Federal'!AG53</f>
        <v>0</v>
      </c>
      <c r="AJ71" s="274"/>
      <c r="AK71" s="103"/>
      <c r="AL71" s="12">
        <f t="shared" si="3"/>
        <v>0</v>
      </c>
      <c r="AM71" s="41"/>
      <c r="AN71" s="384">
        <f>ROUND(IF(AI71=0,0,AL71/ABS(AI71)),3)</f>
        <v>0</v>
      </c>
    </row>
    <row r="72" spans="1:44">
      <c r="A72" s="301"/>
      <c r="B72" s="301" t="s">
        <v>129</v>
      </c>
      <c r="C72" s="301"/>
      <c r="D72" s="301"/>
      <c r="E72" s="299">
        <f>+'Exhibit I State'!E72+'Exhibit I Federal'!E54</f>
        <v>41.7</v>
      </c>
      <c r="F72" s="299"/>
      <c r="G72" s="299">
        <f>+'Exhibit I State'!G72+'Exhibit I Federal'!G54</f>
        <v>35.700000000000003</v>
      </c>
      <c r="H72" s="299"/>
      <c r="I72" s="299">
        <f>+'Exhibit I State'!I72+'Exhibit I Federal'!I54</f>
        <v>23.099999999999994</v>
      </c>
      <c r="J72" s="274"/>
      <c r="K72" s="299">
        <f>+'Exhibit I State'!K72+'Exhibit I Federal'!K54</f>
        <v>34.699999999999989</v>
      </c>
      <c r="L72" s="274"/>
      <c r="M72" s="299">
        <f>+'Exhibit I State'!M72+'Exhibit I Federal'!M54</f>
        <v>34</v>
      </c>
      <c r="N72" s="274"/>
      <c r="O72" s="299">
        <f>+'Exhibit I State'!O72+'Exhibit I Federal'!O54</f>
        <v>22.399999999999991</v>
      </c>
      <c r="P72" s="274"/>
      <c r="Q72" s="299">
        <v>46.700000000000045</v>
      </c>
      <c r="R72" s="274"/>
      <c r="S72" s="299">
        <v>71.599999999999994</v>
      </c>
      <c r="T72" s="299"/>
      <c r="U72" s="299">
        <v>37.399999999999977</v>
      </c>
      <c r="V72" s="299"/>
      <c r="W72" s="299">
        <v>34.000000000000014</v>
      </c>
      <c r="X72" s="299"/>
      <c r="Y72" s="299">
        <f>+'Exhibit I State'!Y72+'Exhibit I Federal'!Y54</f>
        <v>32.600000000000023</v>
      </c>
      <c r="Z72" s="299"/>
      <c r="AA72" s="299"/>
      <c r="AB72" s="299"/>
      <c r="AC72" s="299">
        <v>0</v>
      </c>
      <c r="AD72" s="274"/>
      <c r="AE72" s="534"/>
      <c r="AF72" s="274">
        <f t="shared" si="4"/>
        <v>413.9</v>
      </c>
      <c r="AG72" s="1264"/>
      <c r="AH72" s="274"/>
      <c r="AI72" s="377">
        <f>+'Exhibit I State'!AG72+'Exhibit I Federal'!AG54</f>
        <v>465.4</v>
      </c>
      <c r="AJ72" s="297"/>
      <c r="AK72" s="102"/>
      <c r="AL72" s="12">
        <f t="shared" si="3"/>
        <v>-51.5</v>
      </c>
      <c r="AM72" s="41"/>
      <c r="AN72" s="384">
        <f>ROUND(IF(AI72=0,0,AL72/ABS(AI72)),3)</f>
        <v>-0.111</v>
      </c>
    </row>
    <row r="73" spans="1:44">
      <c r="A73" s="301"/>
      <c r="B73" s="301" t="s">
        <v>130</v>
      </c>
      <c r="C73" s="301"/>
      <c r="D73" s="301"/>
      <c r="E73" s="299">
        <f>+'Exhibit I State'!E73+'Exhibit I Federal'!E55</f>
        <v>1.7</v>
      </c>
      <c r="F73" s="299"/>
      <c r="G73" s="299">
        <f>+'Exhibit I State'!G73+'Exhibit I Federal'!G55</f>
        <v>1.7</v>
      </c>
      <c r="H73" s="299"/>
      <c r="I73" s="299">
        <f>+'Exhibit I State'!I73+'Exhibit I Federal'!I55</f>
        <v>2.1999999999999993</v>
      </c>
      <c r="J73" s="274"/>
      <c r="K73" s="299">
        <f>+'Exhibit I State'!K73+'Exhibit I Federal'!K55</f>
        <v>2.1000000000000005</v>
      </c>
      <c r="L73" s="274"/>
      <c r="M73" s="299">
        <f>+'Exhibit I State'!M73+'Exhibit I Federal'!M55</f>
        <v>0.89999999999999947</v>
      </c>
      <c r="N73" s="274"/>
      <c r="O73" s="299">
        <f>+'Exhibit I State'!O73+'Exhibit I Federal'!O55</f>
        <v>0.80000000000000071</v>
      </c>
      <c r="P73" s="274"/>
      <c r="Q73" s="299">
        <v>2.2999999999999989</v>
      </c>
      <c r="R73" s="274"/>
      <c r="S73" s="299">
        <v>1</v>
      </c>
      <c r="T73" s="299"/>
      <c r="U73" s="299">
        <v>0.60000000000000142</v>
      </c>
      <c r="V73" s="299"/>
      <c r="W73" s="299">
        <v>2</v>
      </c>
      <c r="X73" s="299"/>
      <c r="Y73" s="299">
        <f>+'Exhibit I State'!Y73+'Exhibit I Federal'!Y55</f>
        <v>0.5</v>
      </c>
      <c r="Z73" s="299"/>
      <c r="AA73" s="299"/>
      <c r="AB73" s="299"/>
      <c r="AC73" s="299">
        <v>0</v>
      </c>
      <c r="AD73" s="274"/>
      <c r="AE73" s="534"/>
      <c r="AF73" s="274">
        <f>ROUND(SUM(E73:AC73),1)</f>
        <v>15.8</v>
      </c>
      <c r="AG73" s="1264"/>
      <c r="AH73" s="274"/>
      <c r="AI73" s="377">
        <f>+'Exhibit I State'!AG73+'Exhibit I Federal'!AG55</f>
        <v>21.5</v>
      </c>
      <c r="AJ73" s="297"/>
      <c r="AK73" s="102"/>
      <c r="AL73" s="12">
        <f t="shared" si="3"/>
        <v>-5.7</v>
      </c>
      <c r="AM73" s="41"/>
      <c r="AN73" s="553">
        <f>ROUND(IF(AI73=0,1,AL73/ABS(AI73)),3)</f>
        <v>-0.26500000000000001</v>
      </c>
    </row>
    <row r="74" spans="1:44">
      <c r="A74" s="301"/>
      <c r="B74" s="301" t="s">
        <v>131</v>
      </c>
      <c r="C74" s="301"/>
      <c r="D74" s="301"/>
      <c r="E74" s="299">
        <f>+'Exhibit I State'!E74+'Exhibit I Federal'!E56</f>
        <v>35.6</v>
      </c>
      <c r="F74" s="299"/>
      <c r="G74" s="299">
        <f>+'Exhibit I State'!G74+'Exhibit I Federal'!G56</f>
        <v>80.300000000000011</v>
      </c>
      <c r="H74" s="299"/>
      <c r="I74" s="299">
        <f>+'Exhibit I State'!I74+'Exhibit I Federal'!I56</f>
        <v>5.6999999999999886</v>
      </c>
      <c r="J74" s="274"/>
      <c r="K74" s="299">
        <f>+'Exhibit I State'!K74+'Exhibit I Federal'!K56</f>
        <v>93.200000000000017</v>
      </c>
      <c r="L74" s="274"/>
      <c r="M74" s="299">
        <f>+'Exhibit I State'!M74+'Exhibit I Federal'!M56</f>
        <v>178.79999999999998</v>
      </c>
      <c r="N74" s="274"/>
      <c r="O74" s="299">
        <f>+'Exhibit I State'!O74+'Exhibit I Federal'!O56</f>
        <v>23.899999999999977</v>
      </c>
      <c r="P74" s="274"/>
      <c r="Q74" s="299">
        <v>497.9</v>
      </c>
      <c r="R74" s="274"/>
      <c r="S74" s="299">
        <v>58.899999999999977</v>
      </c>
      <c r="T74" s="299"/>
      <c r="U74" s="299">
        <v>314.20000000000005</v>
      </c>
      <c r="V74" s="299"/>
      <c r="W74" s="299">
        <v>131.70000000000005</v>
      </c>
      <c r="X74" s="299"/>
      <c r="Y74" s="299">
        <f>+'Exhibit I State'!Y74+'Exhibit I Federal'!Y56</f>
        <v>69.299999999999955</v>
      </c>
      <c r="Z74" s="299"/>
      <c r="AA74" s="299"/>
      <c r="AB74" s="299"/>
      <c r="AC74" s="299">
        <v>0</v>
      </c>
      <c r="AD74" s="274"/>
      <c r="AE74" s="534"/>
      <c r="AF74" s="274">
        <f t="shared" si="4"/>
        <v>1489.5</v>
      </c>
      <c r="AG74" s="1264"/>
      <c r="AH74" s="274"/>
      <c r="AI74" s="377">
        <f>+'Exhibit I State'!AG74+'Exhibit I Federal'!AG56</f>
        <v>880.7</v>
      </c>
      <c r="AJ74" s="274"/>
      <c r="AK74" s="103"/>
      <c r="AL74" s="12">
        <f t="shared" si="3"/>
        <v>608.79999999999995</v>
      </c>
      <c r="AM74" s="41"/>
      <c r="AN74" s="573">
        <f>ROUND(IF(AI74=0,1,AL74/ABS(AI74)),3)</f>
        <v>0.69099999999999995</v>
      </c>
    </row>
    <row r="75" spans="1:44">
      <c r="A75" s="301"/>
      <c r="B75" s="301" t="s">
        <v>132</v>
      </c>
      <c r="C75" s="3"/>
      <c r="D75" s="301"/>
      <c r="E75" s="299">
        <f>+'Exhibit I State'!E75+'Exhibit I Federal'!E57</f>
        <v>55.8</v>
      </c>
      <c r="F75" s="299"/>
      <c r="G75" s="299">
        <f>+'Exhibit I State'!G75+'Exhibit I Federal'!G57</f>
        <v>29.6</v>
      </c>
      <c r="H75" s="299"/>
      <c r="I75" s="299">
        <f>+'Exhibit I State'!I75+'Exhibit I Federal'!I57</f>
        <v>54.900000000000006</v>
      </c>
      <c r="J75" s="274"/>
      <c r="K75" s="299">
        <f>+'Exhibit I State'!K75+'Exhibit I Federal'!K57</f>
        <v>158.79999999999998</v>
      </c>
      <c r="L75" s="274"/>
      <c r="M75" s="299">
        <f>+'Exhibit I State'!M75+'Exhibit I Federal'!M57</f>
        <v>236.09999999999997</v>
      </c>
      <c r="N75" s="274"/>
      <c r="O75" s="299">
        <f>+'Exhibit I State'!O75+'Exhibit I Federal'!O57</f>
        <v>254.40000000000006</v>
      </c>
      <c r="P75" s="274"/>
      <c r="Q75" s="299">
        <v>314</v>
      </c>
      <c r="R75" s="274"/>
      <c r="S75" s="299">
        <v>37.099999999999952</v>
      </c>
      <c r="T75" s="299"/>
      <c r="U75" s="299">
        <v>142.39999999999995</v>
      </c>
      <c r="V75" s="299"/>
      <c r="W75" s="299">
        <v>20.200000000000092</v>
      </c>
      <c r="X75" s="299"/>
      <c r="Y75" s="299">
        <f>+'Exhibit I State'!Y75+'Exhibit I Federal'!Y57</f>
        <v>50</v>
      </c>
      <c r="Z75" s="299"/>
      <c r="AA75" s="299"/>
      <c r="AB75" s="299"/>
      <c r="AC75" s="299">
        <v>0</v>
      </c>
      <c r="AD75" s="274"/>
      <c r="AE75" s="534"/>
      <c r="AF75" s="274">
        <f>ROUND(SUM(E75:AC75),1)</f>
        <v>1353.3</v>
      </c>
      <c r="AG75" s="1264"/>
      <c r="AH75" s="274"/>
      <c r="AI75" s="377">
        <f>+'Exhibit I State'!AG75+'Exhibit I Federal'!AG57</f>
        <v>891.19999999999993</v>
      </c>
      <c r="AJ75" s="274"/>
      <c r="AK75" s="103"/>
      <c r="AL75" s="12">
        <f t="shared" si="3"/>
        <v>462.1</v>
      </c>
      <c r="AM75" s="41"/>
      <c r="AN75" s="573">
        <f>ROUND(IF(AI75=0,0,AL75/ABS(AI75)),3)</f>
        <v>0.51900000000000002</v>
      </c>
    </row>
    <row r="76" spans="1:44">
      <c r="A76" s="301"/>
      <c r="B76" s="301" t="s">
        <v>133</v>
      </c>
      <c r="C76" s="301"/>
      <c r="D76" s="301"/>
      <c r="E76" s="299">
        <f>+'Exhibit I State'!E76+'Exhibit I Federal'!E58</f>
        <v>23.7</v>
      </c>
      <c r="F76" s="299"/>
      <c r="G76" s="299">
        <f>+'Exhibit I State'!G76+'Exhibit I Federal'!G58</f>
        <v>43</v>
      </c>
      <c r="H76" s="299"/>
      <c r="I76" s="299">
        <f>+'Exhibit I State'!I76+'Exhibit I Federal'!I58</f>
        <v>112.39999999999999</v>
      </c>
      <c r="J76" s="274"/>
      <c r="K76" s="299">
        <f>+'Exhibit I State'!K76+'Exhibit I Federal'!K58</f>
        <v>25.100000000000009</v>
      </c>
      <c r="L76" s="274"/>
      <c r="M76" s="299">
        <f>+'Exhibit I State'!M76+'Exhibit I Federal'!M58</f>
        <v>21.799999999999997</v>
      </c>
      <c r="N76" s="274"/>
      <c r="O76" s="299">
        <f>+'Exhibit I State'!O76+'Exhibit I Federal'!O58</f>
        <v>213.30000000000007</v>
      </c>
      <c r="P76" s="274"/>
      <c r="Q76" s="299">
        <v>338.39999999999992</v>
      </c>
      <c r="R76" s="274"/>
      <c r="S76" s="299">
        <v>27.700000000000017</v>
      </c>
      <c r="T76" s="299"/>
      <c r="U76" s="299">
        <v>343.90000000000003</v>
      </c>
      <c r="V76" s="299"/>
      <c r="W76" s="299">
        <v>48.700000000000017</v>
      </c>
      <c r="X76" s="299"/>
      <c r="Y76" s="299">
        <f>+'Exhibit I State'!Y76+'Exhibit I Federal'!Y58</f>
        <v>440.7999999999999</v>
      </c>
      <c r="Z76" s="299"/>
      <c r="AA76" s="299"/>
      <c r="AB76" s="299"/>
      <c r="AC76" s="299">
        <v>0</v>
      </c>
      <c r="AD76" s="274"/>
      <c r="AE76" s="534"/>
      <c r="AF76" s="274">
        <f>ROUND(SUM(E76:AC76),1)</f>
        <v>1638.8</v>
      </c>
      <c r="AG76" s="1264"/>
      <c r="AH76" s="274"/>
      <c r="AI76" s="377">
        <f>+'Exhibit I State'!AG76+'Exhibit I Federal'!AG58</f>
        <v>1170.5</v>
      </c>
      <c r="AJ76" s="274"/>
      <c r="AK76" s="103"/>
      <c r="AL76" s="12">
        <f>ROUND(SUM(+AF76-AI76),1)</f>
        <v>468.3</v>
      </c>
      <c r="AN76" s="884">
        <f>ROUND(IF(AI76=0,0,AL76/ABS(AI76)),3)</f>
        <v>0.4</v>
      </c>
    </row>
    <row r="77" spans="1:44">
      <c r="A77" s="301"/>
      <c r="B77" s="3" t="s">
        <v>572</v>
      </c>
      <c r="C77" s="301"/>
      <c r="D77" s="301"/>
      <c r="E77" s="630">
        <f>ROUND(SUM(E67:E76),1)</f>
        <v>198.3</v>
      </c>
      <c r="F77" s="13"/>
      <c r="G77" s="630">
        <f>ROUND(SUM(G67:G76),1)</f>
        <v>225.2</v>
      </c>
      <c r="H77" s="13"/>
      <c r="I77" s="630">
        <f>ROUND(SUM(I67:I76),1)</f>
        <v>303.89999999999998</v>
      </c>
      <c r="J77" s="13"/>
      <c r="K77" s="630">
        <f>ROUND(SUM(K67:K76),1)</f>
        <v>503.3</v>
      </c>
      <c r="L77" s="13"/>
      <c r="M77" s="630">
        <f>ROUND(SUM(M67:M76),1)</f>
        <v>715.9</v>
      </c>
      <c r="N77" s="13"/>
      <c r="O77" s="630">
        <f>ROUND(SUM(O67:O76),1)</f>
        <v>613.70000000000005</v>
      </c>
      <c r="P77" s="13"/>
      <c r="Q77" s="630">
        <f>ROUND(SUM(Q67:Q76),1)</f>
        <v>1293.3</v>
      </c>
      <c r="R77" s="13"/>
      <c r="S77" s="630">
        <f>ROUND(SUM(S67:S76),1)</f>
        <v>565.79999999999995</v>
      </c>
      <c r="T77" s="13"/>
      <c r="U77" s="630">
        <f>ROUND(SUM(U67:U76),1)</f>
        <v>1072.2</v>
      </c>
      <c r="V77" s="13"/>
      <c r="W77" s="630">
        <f>ROUND(SUM(W67:W76),1)</f>
        <v>424</v>
      </c>
      <c r="X77" s="13"/>
      <c r="Y77" s="630">
        <f>ROUND(SUM(Y67:Y76),1)</f>
        <v>701.1</v>
      </c>
      <c r="Z77" s="13"/>
      <c r="AA77" s="630">
        <f>ROUND(SUM(AA67:AA76),1)</f>
        <v>0</v>
      </c>
      <c r="AB77" s="13"/>
      <c r="AC77" s="630">
        <f>ROUND(SUM(AC67:AC76),1)</f>
        <v>0</v>
      </c>
      <c r="AD77" s="13"/>
      <c r="AE77" s="14"/>
      <c r="AF77" s="630">
        <f>ROUND(SUM(AF67:AF76),1)</f>
        <v>6616.7</v>
      </c>
      <c r="AG77" s="1266"/>
      <c r="AH77" s="13"/>
      <c r="AI77" s="630">
        <f>ROUND(SUM(AI67:AI76),1)</f>
        <v>5115.1000000000004</v>
      </c>
      <c r="AJ77" s="13"/>
      <c r="AK77" s="103"/>
      <c r="AL77" s="630">
        <f>ROUND(SUM(AL67:AL76),1)</f>
        <v>1501.6</v>
      </c>
      <c r="AM77" s="3"/>
      <c r="AN77" s="378">
        <f>ROUND(SUM(AL77/AI77),3)</f>
        <v>0.29399999999999998</v>
      </c>
      <c r="AO77" s="3"/>
      <c r="AP77" s="40"/>
      <c r="AQ77" s="3"/>
      <c r="AR77" s="3"/>
    </row>
    <row r="78" spans="1:44">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534"/>
      <c r="AF78" s="274"/>
      <c r="AG78" s="1264"/>
      <c r="AH78" s="274"/>
      <c r="AI78" s="274"/>
      <c r="AJ78" s="274"/>
      <c r="AK78" s="103"/>
      <c r="AL78" s="12"/>
      <c r="AN78" s="101"/>
    </row>
    <row r="79" spans="1:44">
      <c r="A79" s="301"/>
      <c r="B79" s="301" t="s">
        <v>574</v>
      </c>
      <c r="C79" s="301"/>
      <c r="D79" s="301"/>
      <c r="E79" s="299">
        <f>+'Exhibit I State'!E79+'Exhibit I Federal'!E61</f>
        <v>0</v>
      </c>
      <c r="F79" s="299"/>
      <c r="G79" s="299">
        <f>+'Exhibit I State'!G79+'Exhibit I Federal'!G61</f>
        <v>0</v>
      </c>
      <c r="H79" s="299"/>
      <c r="I79" s="299">
        <f>+'Exhibit I State'!I79+'Exhibit I Federal'!I61</f>
        <v>0</v>
      </c>
      <c r="J79" s="274"/>
      <c r="K79" s="299">
        <f>+'Exhibit I State'!K79+'Exhibit I Federal'!K61</f>
        <v>0</v>
      </c>
      <c r="L79" s="274"/>
      <c r="M79" s="299">
        <f>+'Exhibit I State'!M79+'Exhibit I Federal'!M61</f>
        <v>0</v>
      </c>
      <c r="N79" s="274"/>
      <c r="O79" s="299">
        <f>+'Exhibit I State'!O79+'Exhibit I Federal'!O61</f>
        <v>0</v>
      </c>
      <c r="P79" s="274"/>
      <c r="Q79" s="299">
        <v>0</v>
      </c>
      <c r="R79" s="274"/>
      <c r="S79" s="299">
        <v>0</v>
      </c>
      <c r="T79" s="299"/>
      <c r="U79" s="299">
        <v>0</v>
      </c>
      <c r="V79" s="299"/>
      <c r="W79" s="299">
        <v>0</v>
      </c>
      <c r="X79" s="299"/>
      <c r="Y79" s="299">
        <f>+'Exhibit I State'!Y79+'Exhibit I Federal'!Y61</f>
        <v>0</v>
      </c>
      <c r="Z79" s="299"/>
      <c r="AA79" s="299"/>
      <c r="AB79" s="299"/>
      <c r="AC79" s="299">
        <v>0</v>
      </c>
      <c r="AD79" s="274"/>
      <c r="AE79" s="534"/>
      <c r="AF79" s="297">
        <f>ROUND(SUM(E79:AC79),1)</f>
        <v>0</v>
      </c>
      <c r="AG79" s="1264"/>
      <c r="AH79" s="274"/>
      <c r="AI79" s="285">
        <f>+'Exhibit I State'!AG79+'Exhibit I Federal'!AG61</f>
        <v>0</v>
      </c>
      <c r="AJ79" s="377"/>
      <c r="AK79" s="105"/>
      <c r="AL79" s="274">
        <f>ROUND(SUM(+AF79-AI79),1)</f>
        <v>0</v>
      </c>
      <c r="AN79" s="384">
        <f>ROUND(IF(AI79=0,0,AL79/ABS(AI79)),3)</f>
        <v>0</v>
      </c>
    </row>
    <row r="80" spans="1:44">
      <c r="A80" s="301"/>
      <c r="B80" s="301" t="s">
        <v>575</v>
      </c>
      <c r="C80" s="301"/>
      <c r="D80" s="301"/>
      <c r="E80" s="299">
        <f>+'Exhibit I State'!E80+'Exhibit I Federal'!E62</f>
        <v>0</v>
      </c>
      <c r="F80" s="299"/>
      <c r="G80" s="299">
        <f>+'Exhibit I State'!G80+'Exhibit I Federal'!G62</f>
        <v>0</v>
      </c>
      <c r="H80" s="299"/>
      <c r="I80" s="299">
        <f>+'Exhibit I State'!I80+'Exhibit I Federal'!I62</f>
        <v>0</v>
      </c>
      <c r="J80" s="274"/>
      <c r="K80" s="299">
        <f>+'Exhibit I State'!K80+'Exhibit I Federal'!K62</f>
        <v>0</v>
      </c>
      <c r="L80" s="274"/>
      <c r="M80" s="299">
        <f>+'Exhibit I State'!M80+'Exhibit I Federal'!M62</f>
        <v>0</v>
      </c>
      <c r="N80" s="274"/>
      <c r="O80" s="299">
        <f>+'Exhibit I State'!O80+'Exhibit I Federal'!O62</f>
        <v>0</v>
      </c>
      <c r="P80" s="274"/>
      <c r="Q80" s="299">
        <v>0</v>
      </c>
      <c r="R80" s="274"/>
      <c r="S80" s="299">
        <v>0</v>
      </c>
      <c r="T80" s="299"/>
      <c r="U80" s="299">
        <v>0</v>
      </c>
      <c r="V80" s="299"/>
      <c r="W80" s="299">
        <v>0</v>
      </c>
      <c r="X80" s="299"/>
      <c r="Y80" s="299">
        <f>+'Exhibit I State'!Y80+'Exhibit I Federal'!Y62</f>
        <v>0</v>
      </c>
      <c r="Z80" s="299"/>
      <c r="AA80" s="299"/>
      <c r="AB80" s="299"/>
      <c r="AC80" s="299">
        <v>0</v>
      </c>
      <c r="AD80" s="274"/>
      <c r="AE80" s="534"/>
      <c r="AF80" s="2052">
        <f>ROUND(SUM(E80:AC80),1)</f>
        <v>0</v>
      </c>
      <c r="AG80" s="1264"/>
      <c r="AH80" s="274"/>
      <c r="AI80" s="285">
        <f>+'Exhibit I State'!AG80+'Exhibit I Federal'!AG62</f>
        <v>0</v>
      </c>
      <c r="AJ80" s="377"/>
      <c r="AK80" s="105"/>
      <c r="AL80" s="274">
        <f>ROUND(SUM(+AF80-AI80),1)</f>
        <v>0</v>
      </c>
      <c r="AN80" s="384">
        <f>ROUND(IF(AI80=0,0,AL80/ABS(AI80)),3)</f>
        <v>0</v>
      </c>
    </row>
    <row r="81" spans="1:44">
      <c r="A81" s="301"/>
      <c r="B81" s="301" t="s">
        <v>576</v>
      </c>
      <c r="C81" s="301"/>
      <c r="D81" s="301"/>
      <c r="E81" s="299">
        <f>+'Exhibit I State'!E81+'Exhibit I Federal'!E63</f>
        <v>0</v>
      </c>
      <c r="F81" s="299"/>
      <c r="G81" s="299">
        <f>+'Exhibit I State'!G81+'Exhibit I Federal'!G63</f>
        <v>0</v>
      </c>
      <c r="H81" s="299"/>
      <c r="I81" s="299">
        <f>+'Exhibit I State'!I81+'Exhibit I Federal'!I63</f>
        <v>0</v>
      </c>
      <c r="J81" s="274"/>
      <c r="K81" s="299">
        <f>+'Exhibit I State'!K81+'Exhibit I Federal'!K63</f>
        <v>0</v>
      </c>
      <c r="L81" s="274"/>
      <c r="M81" s="299">
        <f>+'Exhibit I State'!M81+'Exhibit I Federal'!M63</f>
        <v>0</v>
      </c>
      <c r="N81" s="274"/>
      <c r="O81" s="299">
        <f>+'Exhibit I State'!O81+'Exhibit I Federal'!O63</f>
        <v>0</v>
      </c>
      <c r="P81" s="274"/>
      <c r="Q81" s="299">
        <v>0</v>
      </c>
      <c r="R81" s="274"/>
      <c r="S81" s="299">
        <v>0</v>
      </c>
      <c r="T81" s="299"/>
      <c r="U81" s="299">
        <v>0</v>
      </c>
      <c r="V81" s="299"/>
      <c r="W81" s="299">
        <v>0</v>
      </c>
      <c r="X81" s="299"/>
      <c r="Y81" s="299">
        <f>+'Exhibit I State'!Y81+'Exhibit I Federal'!Y63</f>
        <v>0</v>
      </c>
      <c r="Z81" s="299"/>
      <c r="AA81" s="299"/>
      <c r="AB81" s="299"/>
      <c r="AC81" s="299">
        <v>0</v>
      </c>
      <c r="AD81" s="1094"/>
      <c r="AE81" s="1095"/>
      <c r="AF81" s="297">
        <f>ROUND(SUM(E81:AC81),1)</f>
        <v>0</v>
      </c>
      <c r="AG81" s="1264"/>
      <c r="AH81" s="274"/>
      <c r="AI81" s="285">
        <f>+'Exhibit I State'!AG81+'Exhibit I Federal'!AG63</f>
        <v>0</v>
      </c>
      <c r="AJ81" s="377"/>
      <c r="AK81" s="105"/>
      <c r="AL81" s="274">
        <f>ROUND(SUM(+AF81-AI81),1)</f>
        <v>0</v>
      </c>
      <c r="AN81" s="384">
        <f>ROUND(IF(AI81=0,0,AL81/ABS(AI81)),3)</f>
        <v>0</v>
      </c>
    </row>
    <row r="82" spans="1:44">
      <c r="A82" s="301"/>
      <c r="B82" s="423" t="s">
        <v>521</v>
      </c>
      <c r="C82" s="301"/>
      <c r="D82" s="301"/>
      <c r="E82" s="299">
        <f>+'Exhibit I State'!E82+'Exhibit I Federal'!E64</f>
        <v>484.5</v>
      </c>
      <c r="F82" s="299"/>
      <c r="G82" s="299">
        <f>+'Exhibit I State'!G82+'Exhibit I Federal'!G64</f>
        <v>783.49999999999989</v>
      </c>
      <c r="H82" s="299"/>
      <c r="I82" s="299">
        <f>+'Exhibit I State'!I82+'Exhibit I Federal'!I64</f>
        <v>751.19999999999993</v>
      </c>
      <c r="J82" s="285"/>
      <c r="K82" s="299">
        <f>+'Exhibit I State'!K82+'Exhibit I Federal'!K64</f>
        <v>825.60000000000025</v>
      </c>
      <c r="L82" s="274"/>
      <c r="M82" s="299">
        <f>+'Exhibit I State'!M82+'Exhibit I Federal'!M64</f>
        <v>878.50000000000023</v>
      </c>
      <c r="N82" s="274"/>
      <c r="O82" s="299">
        <f>+'Exhibit I State'!O82+'Exhibit I Federal'!O64</f>
        <v>819.3</v>
      </c>
      <c r="P82" s="274"/>
      <c r="Q82" s="299">
        <v>1161.5000000000002</v>
      </c>
      <c r="R82" s="274"/>
      <c r="S82" s="299">
        <v>787.40000000000009</v>
      </c>
      <c r="T82" s="299"/>
      <c r="U82" s="299">
        <v>807.29999999999927</v>
      </c>
      <c r="V82" s="299"/>
      <c r="W82" s="299">
        <v>684.00000000000114</v>
      </c>
      <c r="X82" s="299"/>
      <c r="Y82" s="299">
        <f>+'Exhibit I State'!Y82+'Exhibit I Federal'!Y64</f>
        <v>705.89999999999918</v>
      </c>
      <c r="Z82" s="299"/>
      <c r="AA82" s="299"/>
      <c r="AB82" s="299"/>
      <c r="AC82" s="299">
        <v>0</v>
      </c>
      <c r="AD82" s="274"/>
      <c r="AE82" s="534"/>
      <c r="AF82" s="297">
        <f>ROUND(SUM(E82:AC82),1)</f>
        <v>8688.7000000000007</v>
      </c>
      <c r="AG82" s="1264"/>
      <c r="AH82" s="274"/>
      <c r="AI82" s="906">
        <f>+'Exhibit I State'!AG82+'Exhibit I Federal'!AG64</f>
        <v>7821.0999999999995</v>
      </c>
      <c r="AJ82" s="297"/>
      <c r="AK82" s="102"/>
      <c r="AL82" s="1092">
        <f>ROUND(SUM(+AF82-AI82),1)</f>
        <v>867.6</v>
      </c>
      <c r="AN82" s="884">
        <f>ROUND(IF(AI82=0,1,AL82/ABS(AI82)),3)</f>
        <v>0.111</v>
      </c>
    </row>
    <row r="83" spans="1:44">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629"/>
      <c r="AD83" s="274"/>
      <c r="AE83" s="534"/>
      <c r="AF83" s="629"/>
      <c r="AG83" s="1264"/>
      <c r="AH83" s="274"/>
      <c r="AI83" s="12"/>
      <c r="AJ83" s="12"/>
      <c r="AK83" s="103"/>
      <c r="AL83" s="12"/>
      <c r="AN83" s="101"/>
    </row>
    <row r="84" spans="1:44">
      <c r="A84" s="301"/>
      <c r="B84" s="3" t="s">
        <v>577</v>
      </c>
      <c r="C84" s="301"/>
      <c r="D84" s="301"/>
      <c r="E84" s="13">
        <f>ROUND(SUM(+E82+E77),1)</f>
        <v>682.8</v>
      </c>
      <c r="F84" s="13"/>
      <c r="G84" s="13">
        <f>ROUND(SUM(G77:G82),1)</f>
        <v>1008.7</v>
      </c>
      <c r="H84" s="13"/>
      <c r="I84" s="13">
        <f>ROUND(SUM(I77:I82),1)</f>
        <v>1055.0999999999999</v>
      </c>
      <c r="J84" s="13"/>
      <c r="K84" s="13">
        <f>ROUND(SUM(+K82+K77),1)</f>
        <v>1328.9</v>
      </c>
      <c r="L84" s="13"/>
      <c r="M84" s="13">
        <f>ROUND(SUM(+M82+M77),1)</f>
        <v>1594.4</v>
      </c>
      <c r="N84" s="13"/>
      <c r="O84" s="13">
        <f>ROUND(SUM(+O82+O77),1)</f>
        <v>1433</v>
      </c>
      <c r="P84" s="13"/>
      <c r="Q84" s="13">
        <f>ROUND(SUM(+Q82+Q77),1)</f>
        <v>2454.8000000000002</v>
      </c>
      <c r="R84" s="13"/>
      <c r="S84" s="13">
        <f>ROUND(SUM(+S82+S77),1)</f>
        <v>1353.2</v>
      </c>
      <c r="T84" s="13"/>
      <c r="U84" s="13">
        <f>ROUND(SUM(+U82+U77),1)</f>
        <v>1879.5</v>
      </c>
      <c r="V84" s="13"/>
      <c r="W84" s="13">
        <f>ROUND(SUM(+W82+W77),1)</f>
        <v>1108</v>
      </c>
      <c r="X84" s="13"/>
      <c r="Y84" s="13">
        <f>ROUND(SUM(+Y82+Y77),1)</f>
        <v>1407</v>
      </c>
      <c r="Z84" s="13"/>
      <c r="AA84" s="13">
        <f>ROUND(SUM(+AA82+AA77),1)</f>
        <v>0</v>
      </c>
      <c r="AB84" s="13"/>
      <c r="AC84" s="13">
        <f>ROUND(SUM(+AC82+AC77),1)</f>
        <v>0</v>
      </c>
      <c r="AD84" s="13"/>
      <c r="AE84" s="14"/>
      <c r="AF84" s="2053">
        <f>ROUND(SUM(+AF82+AF77+AF79+AF80+AF81),1)</f>
        <v>15305.4</v>
      </c>
      <c r="AG84" s="1266"/>
      <c r="AH84" s="13"/>
      <c r="AI84" s="13">
        <f>ROUND(SUM(+AI82+AI77+AI79+AI80+AI81),1)</f>
        <v>12936.2</v>
      </c>
      <c r="AJ84" s="13"/>
      <c r="AK84" s="103"/>
      <c r="AL84" s="367">
        <f>ROUND(SUM(AL77+AL82+AL79+AL80+AL81),1)</f>
        <v>2369.1999999999998</v>
      </c>
      <c r="AM84" s="3"/>
      <c r="AN84" s="378">
        <f>ROUND(SUM(AL84/AI84),3)</f>
        <v>0.183</v>
      </c>
      <c r="AO84" s="3"/>
      <c r="AP84" s="40"/>
      <c r="AQ84" s="3"/>
      <c r="AR84" s="3"/>
    </row>
    <row r="85" spans="1:44">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629"/>
      <c r="AD85" s="274"/>
      <c r="AE85" s="534"/>
      <c r="AF85" s="629"/>
      <c r="AG85" s="1264"/>
      <c r="AH85" s="274"/>
      <c r="AI85" s="629"/>
      <c r="AJ85" s="274"/>
      <c r="AK85" s="103"/>
      <c r="AL85" s="12"/>
      <c r="AN85" s="101"/>
    </row>
    <row r="86" spans="1:44">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534"/>
      <c r="AF86" s="12"/>
      <c r="AG86" s="1264"/>
      <c r="AH86" s="274"/>
      <c r="AI86" s="12"/>
      <c r="AJ86" s="12"/>
      <c r="AK86" s="103"/>
      <c r="AL86" s="12"/>
      <c r="AN86" s="101"/>
    </row>
    <row r="87" spans="1:44">
      <c r="A87" s="301"/>
      <c r="B87" s="3" t="s">
        <v>579</v>
      </c>
      <c r="C87" s="301"/>
      <c r="D87" s="301"/>
      <c r="E87" s="13">
        <f>ROUND(SUM(E63-E84),1)</f>
        <v>-150.9</v>
      </c>
      <c r="F87" s="13"/>
      <c r="G87" s="13">
        <f>ROUND(SUM(G63-G84),1)</f>
        <v>658.4</v>
      </c>
      <c r="H87" s="13"/>
      <c r="I87" s="13">
        <f>ROUND(SUM(I63-I84),1)</f>
        <v>-618.5</v>
      </c>
      <c r="J87" s="13"/>
      <c r="K87" s="13">
        <f>ROUND(SUM(K63-K84),1)</f>
        <v>-524.5</v>
      </c>
      <c r="L87" s="13"/>
      <c r="M87" s="13">
        <f>ROUND(SUM(M63-M84),1)</f>
        <v>-1066.3</v>
      </c>
      <c r="N87" s="13"/>
      <c r="O87" s="13">
        <f>ROUND(SUM(O63-O84),1)</f>
        <v>-614.6</v>
      </c>
      <c r="P87" s="13"/>
      <c r="Q87" s="13">
        <f>ROUND(SUM(Q63-Q84),1)</f>
        <v>-1755.6</v>
      </c>
      <c r="R87" s="13"/>
      <c r="S87" s="13">
        <f>ROUND(SUM(S63-S84),1)</f>
        <v>-707.8</v>
      </c>
      <c r="T87" s="13"/>
      <c r="U87" s="13">
        <f>ROUND(SUM(U63-U84),1)</f>
        <v>-1241.9000000000001</v>
      </c>
      <c r="V87" s="13"/>
      <c r="W87" s="13">
        <f>ROUND(SUM(W63-W84),1)</f>
        <v>-625.29999999999995</v>
      </c>
      <c r="X87" s="13"/>
      <c r="Y87" s="13">
        <f>ROUND(SUM(Y63-Y84),1)</f>
        <v>-965.5</v>
      </c>
      <c r="Z87" s="13"/>
      <c r="AA87" s="13">
        <f>ROUND(SUM(AA63-AA84),1)</f>
        <v>0</v>
      </c>
      <c r="AB87" s="13"/>
      <c r="AC87" s="13">
        <f>ROUND(SUM(AC63-AC84),1)</f>
        <v>0</v>
      </c>
      <c r="AD87" s="13"/>
      <c r="AE87" s="14"/>
      <c r="AF87" s="13">
        <f>ROUND(SUM(AF63-AF84),1)</f>
        <v>-7612.5</v>
      </c>
      <c r="AG87" s="1266"/>
      <c r="AH87" s="13"/>
      <c r="AI87" s="13">
        <f>ROUND(SUM(AI63-AI84),1)</f>
        <v>-5011.3</v>
      </c>
      <c r="AJ87" s="13"/>
      <c r="AK87" s="103"/>
      <c r="AL87" s="367">
        <f>ROUND(SUM(AL63-AL84),1)</f>
        <v>-2601.1999999999998</v>
      </c>
      <c r="AM87" s="3"/>
      <c r="AN87" s="625">
        <f>ROUND(IF(AI87=0,0,AL87/ABS(AI87)),3)</f>
        <v>-0.51900000000000002</v>
      </c>
      <c r="AO87" s="3"/>
      <c r="AP87" s="3"/>
      <c r="AQ87" s="3"/>
      <c r="AR87" s="3"/>
    </row>
    <row r="88" spans="1:44">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629"/>
      <c r="AD88" s="274"/>
      <c r="AE88" s="534"/>
      <c r="AF88" s="629"/>
      <c r="AG88" s="1264"/>
      <c r="AH88" s="274"/>
      <c r="AI88" s="629"/>
      <c r="AJ88" s="274"/>
      <c r="AK88" s="103"/>
      <c r="AL88" s="12"/>
      <c r="AN88" s="101"/>
    </row>
    <row r="89" spans="1:44">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534"/>
      <c r="AF89" s="274"/>
      <c r="AG89" s="1264"/>
      <c r="AH89" s="274"/>
      <c r="AI89" s="377"/>
      <c r="AJ89" s="377"/>
      <c r="AK89" s="105"/>
      <c r="AL89" s="12"/>
      <c r="AN89" s="101"/>
    </row>
    <row r="90" spans="1:44">
      <c r="A90" s="301"/>
      <c r="B90" s="301" t="s">
        <v>581</v>
      </c>
      <c r="C90" s="301"/>
      <c r="D90" s="301"/>
      <c r="E90" s="299">
        <f>+'Exhibit I State'!E90</f>
        <v>0</v>
      </c>
      <c r="F90" s="299"/>
      <c r="G90" s="299">
        <f>+'Exhibit I State'!G90</f>
        <v>0</v>
      </c>
      <c r="H90" s="299"/>
      <c r="I90" s="299">
        <f>+'Exhibit I State'!I90</f>
        <v>0</v>
      </c>
      <c r="J90" s="274"/>
      <c r="K90" s="299">
        <f>+'Exhibit I State'!K90</f>
        <v>0</v>
      </c>
      <c r="L90" s="274"/>
      <c r="M90" s="299">
        <f>+'Exhibit I State'!M90</f>
        <v>0</v>
      </c>
      <c r="N90" s="285"/>
      <c r="O90" s="299">
        <f>+'Exhibit I State'!O90</f>
        <v>0</v>
      </c>
      <c r="P90" s="274"/>
      <c r="Q90" s="299">
        <v>0</v>
      </c>
      <c r="R90" s="274"/>
      <c r="S90" s="299">
        <v>0</v>
      </c>
      <c r="T90" s="299"/>
      <c r="U90" s="299">
        <v>0</v>
      </c>
      <c r="V90" s="299"/>
      <c r="W90" s="299">
        <v>0</v>
      </c>
      <c r="X90" s="299"/>
      <c r="Y90" s="299">
        <f>+'Exhibit I State'!Y90</f>
        <v>0</v>
      </c>
      <c r="Z90" s="299"/>
      <c r="AA90" s="299"/>
      <c r="AB90" s="299"/>
      <c r="AC90" s="299">
        <v>0</v>
      </c>
      <c r="AD90" s="274"/>
      <c r="AE90" s="534"/>
      <c r="AF90" s="297">
        <f>ROUND(SUM(E90:AC90),1)</f>
        <v>0</v>
      </c>
      <c r="AG90" s="1264"/>
      <c r="AH90" s="274"/>
      <c r="AI90" s="377">
        <f>+'Exhibit I State'!AG90</f>
        <v>505</v>
      </c>
      <c r="AJ90" s="377"/>
      <c r="AK90" s="105"/>
      <c r="AL90" s="274">
        <f>ROUND(SUM(+AF90-AI90),1)</f>
        <v>-505</v>
      </c>
      <c r="AM90" s="41"/>
      <c r="AN90" s="384">
        <f>ROUND(IF(AI90=0,0,AL90/ABS(AI90)),3)</f>
        <v>-1</v>
      </c>
      <c r="AP90" s="12"/>
    </row>
    <row r="91" spans="1:44">
      <c r="A91" s="301"/>
      <c r="B91" s="423" t="s">
        <v>523</v>
      </c>
      <c r="C91" s="301"/>
      <c r="D91" s="301"/>
      <c r="E91" s="299">
        <f>+'Exhibit I State'!E91+'Exhibit I Federal'!E72</f>
        <v>285</v>
      </c>
      <c r="F91" s="299"/>
      <c r="G91" s="299">
        <f>+'Exhibit I State'!G91+'Exhibit I Federal'!G72</f>
        <v>-893.5</v>
      </c>
      <c r="H91" s="299"/>
      <c r="I91" s="299">
        <f>+'Exhibit I State'!I91+'Exhibit I Federal'!I72</f>
        <v>803.5</v>
      </c>
      <c r="J91" s="274"/>
      <c r="K91" s="299">
        <f>+'Exhibit I State'!K91+'Exhibit I Federal'!K72</f>
        <v>245.5</v>
      </c>
      <c r="L91" s="274"/>
      <c r="M91" s="299">
        <f>+'Exhibit I State'!M91+'Exhibit I Federal'!M72</f>
        <v>780.5</v>
      </c>
      <c r="N91" s="274"/>
      <c r="O91" s="299">
        <f>+'Exhibit I State'!O91+'Exhibit I Federal'!O72</f>
        <v>815.2</v>
      </c>
      <c r="P91" s="274"/>
      <c r="Q91" s="299">
        <v>1399</v>
      </c>
      <c r="R91" s="274"/>
      <c r="S91" s="299">
        <v>574.5</v>
      </c>
      <c r="T91" s="299"/>
      <c r="U91" s="299">
        <v>1054.0999999999999</v>
      </c>
      <c r="V91" s="299"/>
      <c r="W91" s="299">
        <v>478.30000000000018</v>
      </c>
      <c r="X91" s="299"/>
      <c r="Y91" s="299">
        <f>+'Exhibit I State'!Y91+'Exhibit I Federal'!Y72</f>
        <v>921.69999999999982</v>
      </c>
      <c r="Z91" s="299"/>
      <c r="AA91" s="299"/>
      <c r="AB91" s="1096"/>
      <c r="AC91" s="1224">
        <v>0</v>
      </c>
      <c r="AD91" s="274"/>
      <c r="AE91" s="534"/>
      <c r="AF91" s="297">
        <f>ROUND(SUM(E91:AC91),1)</f>
        <v>6463.8</v>
      </c>
      <c r="AG91" s="1264"/>
      <c r="AH91" s="274"/>
      <c r="AI91" s="274">
        <f>'Exhibit I State'!AG91+'Exhibit I Federal'!AG72</f>
        <v>3821.6</v>
      </c>
      <c r="AJ91" s="297"/>
      <c r="AK91" s="102"/>
      <c r="AL91" s="274">
        <f>ROUND(SUM(+AF91-AI91),1)</f>
        <v>2642.2</v>
      </c>
      <c r="AN91" s="573">
        <f>ROUND(IF(AI91=0,0,AL91/ABS(AI91)),3)</f>
        <v>0.69099999999999995</v>
      </c>
      <c r="AP91" s="41"/>
    </row>
    <row r="92" spans="1:44">
      <c r="A92" s="301"/>
      <c r="B92" s="423" t="s">
        <v>582</v>
      </c>
      <c r="C92" s="301"/>
      <c r="D92" s="301"/>
      <c r="E92" s="299">
        <f>+'Exhibit I State'!E92+'Exhibit I Federal'!E73</f>
        <v>-5.7</v>
      </c>
      <c r="F92" s="299"/>
      <c r="G92" s="299">
        <f>+'Exhibit I State'!G92+'Exhibit I Federal'!G73</f>
        <v>-5.9999999999999991</v>
      </c>
      <c r="H92" s="299"/>
      <c r="I92" s="299">
        <f>+'Exhibit I State'!I92+'Exhibit I Federal'!I73</f>
        <v>-21.099999999999998</v>
      </c>
      <c r="J92" s="274"/>
      <c r="K92" s="299">
        <f>+'Exhibit I State'!K92+'Exhibit I Federal'!K73</f>
        <v>-6.7999999999999936</v>
      </c>
      <c r="L92" s="274"/>
      <c r="M92" s="299">
        <f>+'Exhibit I State'!M92+'Exhibit I Federal'!M73</f>
        <v>-5.9000000000000057</v>
      </c>
      <c r="N92" s="274"/>
      <c r="O92" s="299">
        <f>+'Exhibit I State'!O92+'Exhibit I Federal'!O73</f>
        <v>-5.1000000000000014</v>
      </c>
      <c r="P92" s="274"/>
      <c r="Q92" s="299">
        <v>-7.7000000000000028</v>
      </c>
      <c r="R92" s="274"/>
      <c r="S92" s="299">
        <v>-6.5000000000000071</v>
      </c>
      <c r="T92" s="299"/>
      <c r="U92" s="299">
        <v>-60.899999999999991</v>
      </c>
      <c r="V92" s="299"/>
      <c r="W92" s="299">
        <v>-3.4000000000000057</v>
      </c>
      <c r="X92" s="299"/>
      <c r="Y92" s="299">
        <f>+'Exhibit I State'!Y92+'Exhibit I Federal'!Y73</f>
        <v>-1.3000000000000114</v>
      </c>
      <c r="Z92" s="299"/>
      <c r="AA92" s="299"/>
      <c r="AB92" s="1096"/>
      <c r="AC92" s="1012">
        <v>0</v>
      </c>
      <c r="AD92" s="274"/>
      <c r="AE92" s="534"/>
      <c r="AF92" s="297">
        <f>ROUND(SUM(E92:AC92),1)</f>
        <v>-130.4</v>
      </c>
      <c r="AG92" s="1264"/>
      <c r="AH92" s="274"/>
      <c r="AI92" s="2080">
        <f>'Exhibit I State'!AG92+'Exhibit I Federal'!AG73</f>
        <v>-136.79999999999998</v>
      </c>
      <c r="AJ92" s="274"/>
      <c r="AK92" s="103"/>
      <c r="AL92" s="393">
        <f>ROUND(-SUM(+AF92-AI92),1)</f>
        <v>-6.4</v>
      </c>
      <c r="AN92" s="884">
        <f>ROUND(IF(AI92=0,0,AL92/ABS(AI92)),3)</f>
        <v>-4.7E-2</v>
      </c>
      <c r="AO92" s="12"/>
      <c r="AP92" s="41"/>
      <c r="AQ92" s="41"/>
    </row>
    <row r="93" spans="1:44">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274"/>
      <c r="AD93" s="274"/>
      <c r="AE93" s="534"/>
      <c r="AF93" s="629"/>
      <c r="AG93" s="1264"/>
      <c r="AH93" s="274"/>
      <c r="AI93" s="12"/>
      <c r="AJ93" s="12"/>
      <c r="AK93" s="103"/>
      <c r="AL93" s="12"/>
      <c r="AN93" s="101"/>
      <c r="AO93" s="41"/>
    </row>
    <row r="94" spans="1:44">
      <c r="A94" s="301"/>
      <c r="B94" s="3" t="s">
        <v>583</v>
      </c>
      <c r="C94" s="301"/>
      <c r="D94" s="301"/>
      <c r="E94" s="13">
        <f>ROUND(SUM(E90:E93),1)</f>
        <v>279.3</v>
      </c>
      <c r="F94" s="13"/>
      <c r="G94" s="13">
        <f>ROUND(SUM(G90:G93),1)</f>
        <v>-899.5</v>
      </c>
      <c r="H94" s="13"/>
      <c r="I94" s="13">
        <f>ROUND(SUM(I90:I93),1)</f>
        <v>782.4</v>
      </c>
      <c r="J94" s="13"/>
      <c r="K94" s="13">
        <f>ROUND(SUM(K90:K93),1)</f>
        <v>238.7</v>
      </c>
      <c r="L94" s="13"/>
      <c r="M94" s="13">
        <f>ROUND(SUM(M90:M93),1)</f>
        <v>774.6</v>
      </c>
      <c r="N94" s="13"/>
      <c r="O94" s="13">
        <f>ROUND(SUM(O90:O93),1)</f>
        <v>810.1</v>
      </c>
      <c r="P94" s="13"/>
      <c r="Q94" s="13">
        <f>ROUND(SUM(Q90:Q93),1)</f>
        <v>1391.3</v>
      </c>
      <c r="R94" s="13"/>
      <c r="S94" s="13">
        <f>ROUND(SUM(S90:S93),1)</f>
        <v>568</v>
      </c>
      <c r="T94" s="13"/>
      <c r="U94" s="13">
        <f>ROUND(SUM(U90:U93),1)</f>
        <v>993.2</v>
      </c>
      <c r="V94" s="13"/>
      <c r="W94" s="13">
        <f>ROUND(SUM(W90:W93),1)</f>
        <v>474.9</v>
      </c>
      <c r="X94" s="13"/>
      <c r="Y94" s="13">
        <f>ROUND(SUM(Y90:Y93),1)</f>
        <v>920.4</v>
      </c>
      <c r="Z94" s="13"/>
      <c r="AA94" s="13">
        <f>ROUND(SUM(AA90:AA93),1)</f>
        <v>0</v>
      </c>
      <c r="AB94" s="13"/>
      <c r="AC94" s="13">
        <f>ROUND(SUM(AC90:AC93),1)</f>
        <v>0</v>
      </c>
      <c r="AD94" s="13"/>
      <c r="AE94" s="14"/>
      <c r="AF94" s="13">
        <f>ROUND(SUM(AF90:AF93),1)</f>
        <v>6333.4</v>
      </c>
      <c r="AG94" s="1266"/>
      <c r="AH94" s="13"/>
      <c r="AI94" s="13">
        <f>ROUND(SUM(AI90:AI93),1)</f>
        <v>4189.8</v>
      </c>
      <c r="AJ94" s="13"/>
      <c r="AK94" s="103"/>
      <c r="AL94" s="367">
        <f>ROUND(SUM(AF94-AI94),1)</f>
        <v>2143.6</v>
      </c>
      <c r="AM94" s="3"/>
      <c r="AN94" s="625">
        <f>ROUND(SUM(AL94/ABS(AI94)),3)</f>
        <v>0.51200000000000001</v>
      </c>
      <c r="AO94" s="3"/>
      <c r="AP94" s="3"/>
      <c r="AQ94" s="3"/>
      <c r="AR94" s="3"/>
    </row>
    <row r="95" spans="1:44">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629"/>
      <c r="AD95" s="274"/>
      <c r="AE95" s="534"/>
      <c r="AF95" s="629"/>
      <c r="AG95" s="1264"/>
      <c r="AH95" s="274"/>
      <c r="AI95" s="629"/>
      <c r="AJ95" s="274"/>
      <c r="AK95" s="103"/>
      <c r="AL95" s="12"/>
      <c r="AN95" s="101"/>
    </row>
    <row r="96" spans="1:44">
      <c r="A96" s="301"/>
      <c r="B96" s="3" t="s">
        <v>584</v>
      </c>
      <c r="C96" s="301"/>
      <c r="D96" s="301"/>
      <c r="E96" s="274"/>
      <c r="F96" s="274"/>
      <c r="G96" s="274"/>
      <c r="H96" s="274"/>
      <c r="I96" s="274"/>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274" t="s">
        <v>103</v>
      </c>
      <c r="AD96" s="274"/>
      <c r="AE96" s="534"/>
      <c r="AF96" s="274"/>
      <c r="AG96" s="1264"/>
      <c r="AH96" s="274"/>
      <c r="AI96" s="274" t="s">
        <v>103</v>
      </c>
      <c r="AJ96" s="274"/>
      <c r="AK96" s="103"/>
      <c r="AL96" s="12"/>
      <c r="AN96" s="101"/>
    </row>
    <row r="97" spans="1:55">
      <c r="A97" s="301"/>
      <c r="B97" s="3" t="s">
        <v>585</v>
      </c>
      <c r="C97" s="301"/>
      <c r="D97" s="301"/>
      <c r="E97" s="13" t="s">
        <v>103</v>
      </c>
      <c r="F97" s="13"/>
      <c r="G97" s="13" t="s">
        <v>103</v>
      </c>
      <c r="H97" s="13"/>
      <c r="I97" s="13" t="s">
        <v>103</v>
      </c>
      <c r="J97" s="13"/>
      <c r="K97" s="13"/>
      <c r="L97" s="13"/>
      <c r="M97" s="13"/>
      <c r="N97" s="13"/>
      <c r="O97" s="13"/>
      <c r="P97" s="13"/>
      <c r="Q97" s="13"/>
      <c r="R97" s="13"/>
      <c r="S97" s="13"/>
      <c r="T97" s="13"/>
      <c r="U97" s="13"/>
      <c r="V97" s="13"/>
      <c r="W97" s="13"/>
      <c r="X97" s="13"/>
      <c r="Y97" s="13"/>
      <c r="Z97" s="13"/>
      <c r="AA97" s="13"/>
      <c r="AB97" s="13"/>
      <c r="AC97" s="13"/>
      <c r="AD97" s="13"/>
      <c r="AE97" s="14"/>
      <c r="AF97" s="13" t="s">
        <v>103</v>
      </c>
      <c r="AG97" s="1266"/>
      <c r="AH97" s="13"/>
      <c r="AI97" s="13"/>
      <c r="AJ97" s="13"/>
      <c r="AK97" s="103"/>
      <c r="AL97" s="13"/>
      <c r="AM97" s="3"/>
      <c r="AN97" s="78"/>
      <c r="AO97" s="3"/>
      <c r="AP97" s="3"/>
      <c r="AQ97" s="3"/>
      <c r="AR97" s="3"/>
      <c r="AS97" s="3"/>
      <c r="AT97" s="3"/>
      <c r="AU97" s="3"/>
      <c r="AV97" s="3"/>
      <c r="AW97" s="3"/>
      <c r="AX97" s="3"/>
      <c r="AY97" s="3"/>
    </row>
    <row r="98" spans="1:55">
      <c r="A98" s="301"/>
      <c r="B98" s="3" t="s">
        <v>526</v>
      </c>
      <c r="C98" s="301"/>
      <c r="D98" s="301"/>
      <c r="E98" s="1098">
        <f>ROUND(SUM(E87+E94),1)</f>
        <v>128.4</v>
      </c>
      <c r="F98" s="13"/>
      <c r="G98" s="1098">
        <f>ROUND(SUM(G87+G94),1)</f>
        <v>-241.1</v>
      </c>
      <c r="H98" s="13"/>
      <c r="I98" s="1098">
        <f>ROUND(SUM(I87+I94),1)</f>
        <v>163.9</v>
      </c>
      <c r="J98" s="13"/>
      <c r="K98" s="1098">
        <f>ROUND(SUM(K87+K94),1)</f>
        <v>-285.8</v>
      </c>
      <c r="L98" s="13"/>
      <c r="M98" s="1098">
        <f>ROUND(SUM(M87+M94),1)</f>
        <v>-291.7</v>
      </c>
      <c r="N98" s="13"/>
      <c r="O98" s="1098">
        <f>ROUND(SUM(O87+O94),1)</f>
        <v>195.5</v>
      </c>
      <c r="P98" s="13"/>
      <c r="Q98" s="1098">
        <f>ROUND(SUM(Q87+Q94),1)</f>
        <v>-364.3</v>
      </c>
      <c r="R98" s="13"/>
      <c r="S98" s="1098">
        <f>ROUND(SUM(S87+S94),1)</f>
        <v>-139.80000000000001</v>
      </c>
      <c r="T98" s="13"/>
      <c r="U98" s="1098">
        <f>ROUND(SUM(U87+U94),1)</f>
        <v>-248.7</v>
      </c>
      <c r="V98" s="13"/>
      <c r="W98" s="1097">
        <f>ROUND(SUM(W87+W94),1)</f>
        <v>-150.4</v>
      </c>
      <c r="X98" s="13"/>
      <c r="Y98" s="1097">
        <f>ROUND(SUM(Y87+Y94),1)</f>
        <v>-45.1</v>
      </c>
      <c r="Z98" s="13"/>
      <c r="AA98" s="1097">
        <f>ROUND(SUM(AA87+AA94),1)</f>
        <v>0</v>
      </c>
      <c r="AB98" s="676"/>
      <c r="AC98" s="1097">
        <f>ROUND(SUM(AC87+AC94),1)</f>
        <v>0</v>
      </c>
      <c r="AD98" s="13"/>
      <c r="AE98" s="14"/>
      <c r="AF98" s="1098">
        <f>ROUND(AF87+AF94,1)</f>
        <v>-1279.0999999999999</v>
      </c>
      <c r="AG98" s="1266"/>
      <c r="AH98" s="13"/>
      <c r="AI98" s="1098">
        <f>ROUND(SUM(AI87+AI94),1)</f>
        <v>-821.5</v>
      </c>
      <c r="AJ98" s="13"/>
      <c r="AK98" s="103"/>
      <c r="AL98" s="1097">
        <f>ROUND(SUM(+AF98-AI98),1)</f>
        <v>-457.6</v>
      </c>
      <c r="AM98" s="3"/>
      <c r="AN98" s="585">
        <f>ROUND(IF(AI98=0,0,AL98/ABS(AI98)),3)</f>
        <v>-0.55700000000000005</v>
      </c>
      <c r="AO98" s="3"/>
      <c r="AP98" s="106"/>
      <c r="AQ98" s="3"/>
      <c r="AR98" s="3"/>
      <c r="AS98" s="3"/>
      <c r="AT98" s="3"/>
      <c r="AU98" s="3"/>
      <c r="AV98" s="3"/>
      <c r="AW98" s="3"/>
      <c r="AX98" s="3"/>
      <c r="AY98" s="3"/>
    </row>
    <row r="99" spans="1:55">
      <c r="A99" s="301"/>
      <c r="B99" s="301" t="s">
        <v>103</v>
      </c>
      <c r="C99" s="301"/>
      <c r="D99" s="301"/>
      <c r="E99" s="301"/>
      <c r="F99" s="301"/>
      <c r="G99" s="301"/>
      <c r="H99" s="301"/>
      <c r="I99" s="301"/>
      <c r="J99" s="301"/>
      <c r="K99" s="301"/>
      <c r="L99" s="301"/>
      <c r="M99" s="301"/>
      <c r="N99" s="301"/>
      <c r="O99" s="301"/>
      <c r="P99" s="301"/>
      <c r="Q99" s="301"/>
      <c r="R99" s="301"/>
      <c r="S99" s="416" t="s">
        <v>103</v>
      </c>
      <c r="T99" s="301"/>
      <c r="U99" s="416" t="s">
        <v>103</v>
      </c>
      <c r="V99" s="301"/>
      <c r="W99" s="416" t="s">
        <v>103</v>
      </c>
      <c r="X99" s="301"/>
      <c r="Y99" s="416" t="s">
        <v>103</v>
      </c>
      <c r="Z99" s="301"/>
      <c r="AA99" s="301"/>
      <c r="AB99" s="301"/>
      <c r="AC99" s="301"/>
      <c r="AD99" s="390"/>
      <c r="AE99" s="1099"/>
      <c r="AF99" s="301"/>
      <c r="AG99" s="390"/>
      <c r="AH99" s="1099"/>
      <c r="AI99" s="301" t="s">
        <v>586</v>
      </c>
      <c r="AJ99" s="1061"/>
      <c r="AK99" s="374"/>
      <c r="AN99" s="101"/>
    </row>
    <row r="100" spans="1:55" s="4" customFormat="1" ht="15" customHeight="1" thickBot="1">
      <c r="A100" s="301"/>
      <c r="B100" s="3" t="s">
        <v>540</v>
      </c>
      <c r="C100" s="301"/>
      <c r="D100" s="374"/>
      <c r="E100" s="74">
        <f>ROUND(SUM(+E98+E13),1)</f>
        <v>-1189.7</v>
      </c>
      <c r="F100" s="20"/>
      <c r="G100" s="74">
        <f>ROUND(SUM(+G98+G13),1)</f>
        <v>-1430.8</v>
      </c>
      <c r="H100" s="20"/>
      <c r="I100" s="74">
        <f>ROUND(SUM(+I98+I13),1)</f>
        <v>-1266.9000000000001</v>
      </c>
      <c r="J100" s="20"/>
      <c r="K100" s="74">
        <f>ROUND(SUM(+K98+K13),1)</f>
        <v>-1552.7</v>
      </c>
      <c r="L100" s="20"/>
      <c r="M100" s="74">
        <f>ROUND(SUM(+M98+M13),1)</f>
        <v>-1844.4</v>
      </c>
      <c r="N100" s="20"/>
      <c r="O100" s="74">
        <f>ROUND(SUM(+O98+O13),1)</f>
        <v>-1648.9</v>
      </c>
      <c r="P100" s="20"/>
      <c r="Q100" s="74">
        <f>ROUND(SUM(+Q98+Q13),1)</f>
        <v>-2013.2</v>
      </c>
      <c r="R100" s="20"/>
      <c r="S100" s="74">
        <f>ROUND(SUM(+S98+S13),1)</f>
        <v>-2153</v>
      </c>
      <c r="T100" s="20"/>
      <c r="U100" s="74">
        <f>ROUND(SUM(+U98+U13),1)</f>
        <v>-2401.6999999999998</v>
      </c>
      <c r="V100" s="20"/>
      <c r="W100" s="74">
        <f>ROUND(SUM(+W98+W13),1)</f>
        <v>-2552.1</v>
      </c>
      <c r="X100" s="20"/>
      <c r="Y100" s="74">
        <f>ROUND(SUM(+Y98+Y13),1)</f>
        <v>-2597.1999999999998</v>
      </c>
      <c r="Z100" s="20"/>
      <c r="AA100" s="74">
        <f>ROUND(SUM(+AA98+AA13),1)</f>
        <v>0</v>
      </c>
      <c r="AB100" s="20"/>
      <c r="AC100" s="74">
        <f>ROUND(SUM(+AC98+AC13),1)</f>
        <v>0</v>
      </c>
      <c r="AD100" s="20"/>
      <c r="AE100" s="21"/>
      <c r="AF100" s="74">
        <f>ROUND(SUM(+AF98+AF13),1)</f>
        <v>-2597.1999999999998</v>
      </c>
      <c r="AG100" s="20"/>
      <c r="AH100" s="21"/>
      <c r="AI100" s="74">
        <f>ROUND(SUM(+AI98+AI13),1)</f>
        <v>-2416</v>
      </c>
      <c r="AJ100" s="77"/>
      <c r="AK100" s="20"/>
      <c r="AL100" s="74">
        <f>ROUND(SUM(+AL98+AL13),1)</f>
        <v>-181.2</v>
      </c>
      <c r="AM100" s="45"/>
      <c r="AN100" s="81">
        <f>ROUND(SUM(-(+AF100-AI100)/AI100),3)</f>
        <v>-7.4999999999999997E-2</v>
      </c>
      <c r="AO100" s="3"/>
      <c r="AP100" s="3"/>
      <c r="AQ100" s="3"/>
      <c r="AR100" s="3"/>
      <c r="AS100" s="416"/>
      <c r="AT100" s="416"/>
      <c r="AU100" s="416"/>
      <c r="AV100" s="416"/>
      <c r="AW100" s="416"/>
      <c r="AX100" s="416"/>
      <c r="AY100" s="416"/>
      <c r="AZ100" s="416"/>
      <c r="BA100" s="416"/>
      <c r="BB100" s="416"/>
      <c r="BC100" s="416"/>
    </row>
    <row r="101" spans="1:55" ht="16" thickTop="1">
      <c r="B101" s="948"/>
    </row>
    <row r="102" spans="1:55">
      <c r="B102" s="439" t="s">
        <v>587</v>
      </c>
      <c r="C102" s="108"/>
      <c r="D102" s="108"/>
      <c r="E102" s="108"/>
      <c r="F102" s="108"/>
      <c r="G102" s="108"/>
      <c r="AI102" s="907"/>
      <c r="AL102" s="41"/>
    </row>
    <row r="103" spans="1:55">
      <c r="B103" s="107"/>
      <c r="C103" s="108"/>
      <c r="D103" s="108"/>
      <c r="E103" s="108"/>
      <c r="F103" s="108"/>
      <c r="G103" s="108"/>
      <c r="AL103" s="41"/>
    </row>
    <row r="104" spans="1:55">
      <c r="B104" s="109"/>
      <c r="AC104" s="523"/>
      <c r="AL104" s="41"/>
    </row>
    <row r="105" spans="1:55">
      <c r="B105" s="109"/>
      <c r="AC105" s="523"/>
    </row>
    <row r="106" spans="1:55">
      <c r="B106" s="107"/>
    </row>
    <row r="107" spans="1:55">
      <c r="B107" s="109"/>
    </row>
    <row r="108" spans="1:55">
      <c r="B108" s="109"/>
    </row>
    <row r="109" spans="1:55">
      <c r="B109" s="107"/>
    </row>
  </sheetData>
  <mergeCells count="1">
    <mergeCell ref="AE9:AN9"/>
  </mergeCells>
  <printOptions horizontalCentered="1"/>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8 AN59:AN60 AN27 AN30 AN32:AN34 AN62:AN66 AN88:AN89 AN70:AN72 AN50 AN18:AN19 AN90:AN93 AN21:AN23 AN76:AN86" unlockedFormula="1"/>
    <ignoredError sqref="AN46 AN51 AN56:AN57 AN24 AN53" formula="1" unlockedFormula="1"/>
    <ignoredError sqref="AN48:AN4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7"/>
  <sheetViews>
    <sheetView showGridLines="0" zoomScale="80" zoomScaleNormal="80" workbookViewId="0"/>
  </sheetViews>
  <sheetFormatPr defaultColWidth="8.69140625" defaultRowHeight="15.5"/>
  <cols>
    <col min="1" max="1" width="2.53515625" style="23" customWidth="1"/>
    <col min="2" max="2" width="14.07421875" style="23" customWidth="1"/>
    <col min="3" max="3" width="26.07421875" style="23" customWidth="1"/>
    <col min="4" max="4" width="2"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0742187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1.69140625" style="23" customWidth="1"/>
    <col min="31" max="32" width="1.07421875" style="23" customWidth="1"/>
    <col min="33" max="33" width="11.69140625" style="23" customWidth="1"/>
    <col min="34" max="35" width="1.07421875" style="23" customWidth="1"/>
    <col min="36" max="36" width="11.69140625" style="23" customWidth="1"/>
    <col min="37" max="37" width="1.07421875" style="23" customWidth="1"/>
    <col min="38" max="38" width="11.69140625" style="23" customWidth="1"/>
    <col min="39" max="40" width="9.69140625" style="23" bestFit="1" customWidth="1"/>
    <col min="41" max="42" width="6.07421875" style="23" customWidth="1"/>
    <col min="43" max="16384" width="8.69140625" style="23"/>
  </cols>
  <sheetData>
    <row r="1" spans="1:40">
      <c r="B1" s="294" t="s">
        <v>97</v>
      </c>
    </row>
    <row r="2" spans="1:40">
      <c r="B2" s="374"/>
    </row>
    <row r="3" spans="1:40" ht="19.5" customHeight="1">
      <c r="A3" s="89"/>
      <c r="B3" s="51" t="s">
        <v>98</v>
      </c>
      <c r="C3" s="90"/>
      <c r="D3" s="90"/>
      <c r="E3" s="90"/>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L3" s="111" t="s">
        <v>561</v>
      </c>
    </row>
    <row r="4" spans="1:40" ht="19.5" customHeight="1">
      <c r="A4" s="89"/>
      <c r="B4" s="51" t="s">
        <v>588</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0"/>
      <c r="D6" s="90"/>
      <c r="E6" s="90"/>
      <c r="F6" s="91"/>
      <c r="G6" s="91"/>
      <c r="H6" s="1162"/>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2"/>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5.75" customHeight="1">
      <c r="A8" s="89"/>
      <c r="B8" s="51"/>
      <c r="C8" s="90"/>
      <c r="D8" s="90"/>
      <c r="E8" s="1635"/>
      <c r="F8" s="91"/>
      <c r="G8" s="91"/>
      <c r="H8" s="91"/>
      <c r="I8" s="91"/>
      <c r="J8" s="91"/>
      <c r="K8" s="91"/>
      <c r="L8" s="91"/>
      <c r="M8" s="91"/>
      <c r="N8" s="91"/>
      <c r="O8" s="91"/>
      <c r="P8" s="91"/>
      <c r="Q8" s="91"/>
      <c r="R8" s="91"/>
      <c r="S8" s="91"/>
      <c r="T8" s="91"/>
      <c r="U8" s="91"/>
      <c r="V8" s="91"/>
      <c r="W8" s="91"/>
      <c r="X8" s="91"/>
      <c r="Y8" s="91"/>
      <c r="Z8" s="91"/>
      <c r="AA8" s="91"/>
      <c r="AB8" s="91"/>
      <c r="AC8" s="94"/>
    </row>
    <row r="9" spans="1:40" ht="15.75" customHeight="1">
      <c r="A9" s="89"/>
      <c r="B9" s="95"/>
      <c r="C9" s="90"/>
      <c r="D9" s="90"/>
      <c r="E9" s="1610"/>
      <c r="F9" s="91"/>
      <c r="G9" s="91"/>
      <c r="H9" s="91"/>
      <c r="I9" s="91"/>
      <c r="J9" s="91"/>
      <c r="K9" s="91"/>
      <c r="L9" s="91"/>
      <c r="M9" s="91"/>
      <c r="N9" s="91"/>
      <c r="O9" s="91"/>
      <c r="P9" s="91"/>
      <c r="Q9" s="91"/>
      <c r="R9" s="91"/>
      <c r="S9" s="91"/>
      <c r="T9" s="91"/>
      <c r="U9" s="91"/>
      <c r="V9" s="91"/>
      <c r="W9" s="91"/>
      <c r="X9" s="91"/>
      <c r="Y9" s="91"/>
      <c r="Z9" s="91"/>
      <c r="AA9" s="91"/>
      <c r="AB9" s="91"/>
      <c r="AC9" s="2124" t="str">
        <f>'Cashflow Governmental'!$AB$12</f>
        <v>11 Months Ended February 28</v>
      </c>
      <c r="AD9" s="2124"/>
      <c r="AE9" s="2124"/>
      <c r="AF9" s="2124"/>
      <c r="AG9" s="2124"/>
      <c r="AH9" s="2124"/>
      <c r="AI9" s="2124"/>
      <c r="AJ9" s="2124"/>
      <c r="AK9" s="2124"/>
      <c r="AL9" s="2124"/>
    </row>
    <row r="10" spans="1:40" ht="15.75" customHeight="1">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ht="15.75" customHeight="1">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3"/>
      <c r="AC11" s="3"/>
      <c r="AD11" s="1249" t="str">
        <f>'Cashflow Governmental'!AB14</f>
        <v>2025</v>
      </c>
      <c r="AE11" s="3"/>
      <c r="AF11" s="3"/>
      <c r="AG11" s="1249"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c r="AJ12" s="301"/>
      <c r="AK12" s="301"/>
      <c r="AL12" s="301"/>
    </row>
    <row r="13" spans="1:40">
      <c r="A13" s="301"/>
      <c r="B13" s="3" t="s">
        <v>531</v>
      </c>
      <c r="C13" s="3"/>
      <c r="D13" s="301"/>
      <c r="E13" s="87">
        <v>-745.3</v>
      </c>
      <c r="F13" s="278"/>
      <c r="G13" s="20">
        <f>E100</f>
        <v>-740.4</v>
      </c>
      <c r="H13" s="20"/>
      <c r="I13" s="20">
        <f>G100</f>
        <v>-939.6</v>
      </c>
      <c r="J13" s="284"/>
      <c r="K13" s="20">
        <f>I100</f>
        <v>-793.6</v>
      </c>
      <c r="L13" s="284"/>
      <c r="M13" s="20">
        <f>K100</f>
        <v>-1034.9000000000001</v>
      </c>
      <c r="N13" s="278"/>
      <c r="O13" s="20">
        <f>M100</f>
        <v>-1339.8</v>
      </c>
      <c r="P13" s="278"/>
      <c r="Q13" s="20">
        <f>O100</f>
        <v>-1168.5999999999999</v>
      </c>
      <c r="R13" s="20"/>
      <c r="S13" s="20">
        <f>Q100</f>
        <v>-1505.5</v>
      </c>
      <c r="T13" s="20"/>
      <c r="U13" s="20">
        <f>S100</f>
        <v>-1674.1</v>
      </c>
      <c r="V13" s="20"/>
      <c r="W13" s="20">
        <f>U100</f>
        <v>-1954.9</v>
      </c>
      <c r="X13" s="20"/>
      <c r="Y13" s="20">
        <f>W100</f>
        <v>-2094.6</v>
      </c>
      <c r="Z13" s="20"/>
      <c r="AA13" s="20"/>
      <c r="AB13" s="278"/>
      <c r="AC13" s="681"/>
      <c r="AD13" s="20">
        <f>E13</f>
        <v>-745.3</v>
      </c>
      <c r="AE13" s="278"/>
      <c r="AF13" s="1072"/>
      <c r="AG13" s="2073">
        <v>-1114.7</v>
      </c>
      <c r="AH13" s="278"/>
      <c r="AI13" s="97"/>
      <c r="AJ13" s="20">
        <f>ROUND(AD13-AG13,1)</f>
        <v>369.4</v>
      </c>
      <c r="AK13" s="80"/>
      <c r="AL13" s="291">
        <f>ROUND(IF(AG13=0,0,AJ13/ABS(AG13)),3)</f>
        <v>0.33100000000000002</v>
      </c>
      <c r="AM13" s="1712"/>
      <c r="AN13" s="1712"/>
    </row>
    <row r="14" spans="1:40">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2"/>
      <c r="AG14" s="278"/>
      <c r="AH14" s="278"/>
      <c r="AI14" s="97"/>
      <c r="AJ14" s="301"/>
      <c r="AK14" s="301"/>
      <c r="AL14" s="301"/>
      <c r="AM14" s="1712"/>
      <c r="AN14" s="1712"/>
    </row>
    <row r="15" spans="1:40">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1274"/>
      <c r="AF15" s="278"/>
      <c r="AG15" s="278"/>
      <c r="AH15" s="278"/>
      <c r="AI15" s="97"/>
      <c r="AM15" s="1712"/>
      <c r="AN15" s="1712"/>
    </row>
    <row r="16" spans="1:40">
      <c r="A16" s="301"/>
      <c r="B16" s="1248" t="s">
        <v>349</v>
      </c>
      <c r="C16" s="301"/>
      <c r="D16" s="301"/>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681"/>
      <c r="AD16" s="278"/>
      <c r="AE16" s="1274"/>
      <c r="AF16" s="278"/>
      <c r="AG16" s="278"/>
      <c r="AH16" s="278"/>
      <c r="AI16" s="97"/>
      <c r="AM16" s="1712"/>
      <c r="AN16" s="1712"/>
    </row>
    <row r="17" spans="1:40">
      <c r="A17" s="301"/>
      <c r="B17" s="423" t="s">
        <v>589</v>
      </c>
      <c r="C17" s="301"/>
      <c r="D17" s="301"/>
      <c r="E17" s="1163"/>
      <c r="F17" s="278"/>
      <c r="G17" s="274"/>
      <c r="H17" s="274"/>
      <c r="I17" s="274"/>
      <c r="J17" s="274"/>
      <c r="K17" s="274"/>
      <c r="L17" s="274"/>
      <c r="M17" s="274"/>
      <c r="N17" s="274"/>
      <c r="O17" s="274"/>
      <c r="P17" s="274"/>
      <c r="Q17" s="274"/>
      <c r="R17" s="274"/>
      <c r="S17" s="274"/>
      <c r="T17" s="274"/>
      <c r="U17" s="274"/>
      <c r="V17" s="274"/>
      <c r="W17" s="274"/>
      <c r="X17" s="274"/>
      <c r="Y17" s="274"/>
      <c r="Z17" s="274"/>
      <c r="AA17" s="274"/>
      <c r="AB17" s="274"/>
      <c r="AC17" s="534"/>
      <c r="AD17" s="12" t="s">
        <v>103</v>
      </c>
      <c r="AE17" s="1264"/>
      <c r="AF17" s="274"/>
      <c r="AG17" s="274" t="s">
        <v>103</v>
      </c>
      <c r="AH17" s="274"/>
      <c r="AI17" s="103"/>
      <c r="AJ17" s="12"/>
      <c r="AM17" s="1712"/>
      <c r="AN17" s="1712"/>
    </row>
    <row r="18" spans="1:40">
      <c r="A18" s="301"/>
      <c r="B18" s="294" t="s">
        <v>363</v>
      </c>
      <c r="C18" s="301"/>
      <c r="D18" s="360" t="s">
        <v>103</v>
      </c>
      <c r="E18" s="274">
        <v>5.9</v>
      </c>
      <c r="F18" s="274"/>
      <c r="G18" s="274">
        <v>0.19999999999999929</v>
      </c>
      <c r="H18" s="274"/>
      <c r="I18" s="274">
        <v>22.400000000000002</v>
      </c>
      <c r="J18" s="274"/>
      <c r="K18" s="274">
        <v>0.10000000000000142</v>
      </c>
      <c r="L18" s="565"/>
      <c r="M18" s="274">
        <v>0</v>
      </c>
      <c r="N18" s="620"/>
      <c r="O18" s="274">
        <v>32.1</v>
      </c>
      <c r="P18" s="620"/>
      <c r="Q18" s="274">
        <v>0.29999999999999716</v>
      </c>
      <c r="R18" s="620"/>
      <c r="S18" s="274">
        <v>0</v>
      </c>
      <c r="T18" s="274"/>
      <c r="U18" s="274">
        <v>26.5</v>
      </c>
      <c r="V18" s="274"/>
      <c r="W18" s="274">
        <v>0.20000000000000284</v>
      </c>
      <c r="X18" s="274"/>
      <c r="Y18" s="274">
        <f>$AD18-SUM($E18:W18)</f>
        <v>9.9999999999994316E-2</v>
      </c>
      <c r="Z18" s="274"/>
      <c r="AA18" s="274"/>
      <c r="AB18" s="274"/>
      <c r="AC18" s="534"/>
      <c r="AD18" s="542">
        <v>87.8</v>
      </c>
      <c r="AE18" s="274"/>
      <c r="AF18" s="535" t="s">
        <v>103</v>
      </c>
      <c r="AG18" s="542">
        <v>86.1</v>
      </c>
      <c r="AH18" s="732"/>
      <c r="AI18" s="733"/>
      <c r="AJ18" s="274">
        <f>ROUND(AD18-AG18,1)</f>
        <v>1.7</v>
      </c>
      <c r="AK18" s="394"/>
      <c r="AL18" s="553">
        <f>ROUND(IF(AG18=0,0,AJ18/ABS(AG18)),3)</f>
        <v>0.02</v>
      </c>
      <c r="AM18" s="1712"/>
      <c r="AN18" s="1712"/>
    </row>
    <row r="19" spans="1:40">
      <c r="A19" s="301"/>
      <c r="B19" s="294" t="s">
        <v>366</v>
      </c>
      <c r="C19" s="301"/>
      <c r="D19" s="301"/>
      <c r="E19" s="274">
        <v>29.6</v>
      </c>
      <c r="F19" s="274"/>
      <c r="G19" s="274">
        <v>29.199999999999996</v>
      </c>
      <c r="H19" s="274"/>
      <c r="I19" s="274">
        <v>35.300000000000004</v>
      </c>
      <c r="J19" s="274"/>
      <c r="K19" s="274">
        <v>33.000000000000007</v>
      </c>
      <c r="L19" s="564"/>
      <c r="M19" s="274">
        <v>35.9</v>
      </c>
      <c r="N19" s="564"/>
      <c r="O19" s="274">
        <v>33.6</v>
      </c>
      <c r="P19" s="564"/>
      <c r="Q19" s="274">
        <v>32.199999999999989</v>
      </c>
      <c r="R19" s="564"/>
      <c r="S19" s="274">
        <v>33.700000000000017</v>
      </c>
      <c r="T19" s="274"/>
      <c r="U19" s="274">
        <v>30.300000000000011</v>
      </c>
      <c r="V19" s="564"/>
      <c r="W19" s="274">
        <v>28.899999999999977</v>
      </c>
      <c r="X19" s="564"/>
      <c r="Y19" s="274">
        <f>$AD19-SUM($E19:W19)</f>
        <v>31.199999999999989</v>
      </c>
      <c r="Z19" s="564"/>
      <c r="AA19" s="274"/>
      <c r="AB19" s="274"/>
      <c r="AC19" s="534"/>
      <c r="AD19" s="542">
        <v>352.9</v>
      </c>
      <c r="AE19" s="274"/>
      <c r="AF19" s="535" t="s">
        <v>103</v>
      </c>
      <c r="AG19" s="542">
        <v>353.8</v>
      </c>
      <c r="AH19" s="274"/>
      <c r="AI19" s="103"/>
      <c r="AJ19" s="274">
        <f>ROUND(AD19-AG19,1)</f>
        <v>-0.9</v>
      </c>
      <c r="AK19" s="41"/>
      <c r="AL19" s="276">
        <f>ROUND(IF(AG19=0,0,AJ19/ABS(AG19)),3)</f>
        <v>-3.0000000000000001E-3</v>
      </c>
      <c r="AM19" s="1712"/>
      <c r="AN19" s="1712"/>
    </row>
    <row r="20" spans="1:40">
      <c r="A20" s="301"/>
      <c r="B20" s="294" t="s">
        <v>369</v>
      </c>
      <c r="C20" s="301"/>
      <c r="D20" s="301"/>
      <c r="E20" s="274">
        <v>13.5</v>
      </c>
      <c r="F20" s="274"/>
      <c r="G20" s="274">
        <v>11.299999999999997</v>
      </c>
      <c r="H20" s="274"/>
      <c r="I20" s="274">
        <v>8</v>
      </c>
      <c r="J20" s="274"/>
      <c r="K20" s="274">
        <v>13.700000000000003</v>
      </c>
      <c r="L20" s="564"/>
      <c r="M20" s="274">
        <v>9.5</v>
      </c>
      <c r="N20" s="564"/>
      <c r="O20" s="274">
        <v>9.7999999999999972</v>
      </c>
      <c r="P20" s="564"/>
      <c r="Q20" s="274">
        <v>12.5</v>
      </c>
      <c r="R20" s="564"/>
      <c r="S20" s="274">
        <v>9</v>
      </c>
      <c r="T20" s="274"/>
      <c r="U20" s="274">
        <v>9.9000000000000057</v>
      </c>
      <c r="V20" s="564"/>
      <c r="W20" s="274">
        <v>19</v>
      </c>
      <c r="X20" s="564"/>
      <c r="Y20" s="274">
        <f>$AD20-SUM($E20:W20)</f>
        <v>12.499999999999986</v>
      </c>
      <c r="Z20" s="564"/>
      <c r="AA20" s="274"/>
      <c r="AB20" s="274"/>
      <c r="AC20" s="534"/>
      <c r="AD20" s="542">
        <v>128.69999999999999</v>
      </c>
      <c r="AE20" s="274"/>
      <c r="AF20" s="535" t="s">
        <v>103</v>
      </c>
      <c r="AG20" s="542">
        <v>131.19999999999999</v>
      </c>
      <c r="AH20" s="274"/>
      <c r="AI20" s="103"/>
      <c r="AJ20" s="274">
        <f>ROUND(AD20-AG20,1)</f>
        <v>-2.5</v>
      </c>
      <c r="AK20" s="41"/>
      <c r="AL20" s="553">
        <f>ROUND(IF(AG20=0,0,AJ20/ABS(AG20)),3)</f>
        <v>-1.9E-2</v>
      </c>
      <c r="AM20" s="1712"/>
      <c r="AN20" s="1712"/>
    </row>
    <row r="21" spans="1:40">
      <c r="A21" s="301"/>
      <c r="B21" s="88" t="s">
        <v>566</v>
      </c>
      <c r="C21" s="301"/>
      <c r="D21" s="301"/>
      <c r="E21" s="72">
        <f>ROUND(SUM(E18:E20),1)</f>
        <v>49</v>
      </c>
      <c r="F21" s="274"/>
      <c r="G21" s="72">
        <f>ROUND(SUM(G18:G20),1)</f>
        <v>40.700000000000003</v>
      </c>
      <c r="H21" s="274"/>
      <c r="I21" s="72">
        <f>ROUND(SUM(I18:I20),1)</f>
        <v>65.7</v>
      </c>
      <c r="J21" s="274"/>
      <c r="K21" s="72">
        <f>ROUND(SUM(K18:K20),1)</f>
        <v>46.8</v>
      </c>
      <c r="L21" s="274"/>
      <c r="M21" s="72">
        <f>ROUND(SUM(M18:M20),1)</f>
        <v>45.4</v>
      </c>
      <c r="N21" s="274"/>
      <c r="O21" s="72">
        <f>ROUND(SUM(O18:O20),1)</f>
        <v>75.5</v>
      </c>
      <c r="P21" s="274"/>
      <c r="Q21" s="72">
        <f>ROUND(SUM(Q18:Q20),1)</f>
        <v>45</v>
      </c>
      <c r="R21" s="274"/>
      <c r="S21" s="72">
        <f>ROUND(SUM(S18:S20),1)</f>
        <v>42.7</v>
      </c>
      <c r="T21" s="13"/>
      <c r="U21" s="72">
        <f>ROUND(SUM(U18:U20),1)</f>
        <v>66.7</v>
      </c>
      <c r="V21" s="274"/>
      <c r="W21" s="72">
        <f>ROUND(SUM(W18:W20),1)</f>
        <v>48.1</v>
      </c>
      <c r="X21" s="274"/>
      <c r="Y21" s="72">
        <f>ROUND(SUM(Y18:Y20),1)</f>
        <v>43.8</v>
      </c>
      <c r="Z21" s="274"/>
      <c r="AA21" s="72">
        <f>ROUND(SUM(AA18:AA20),1)</f>
        <v>0</v>
      </c>
      <c r="AB21" s="274"/>
      <c r="AC21" s="534"/>
      <c r="AD21" s="72">
        <f>ROUND(SUM(AD18:AD20),1)</f>
        <v>569.4</v>
      </c>
      <c r="AE21" s="1264"/>
      <c r="AF21" s="274"/>
      <c r="AG21" s="72">
        <f>ROUND(SUM(AG18:AG20),1)</f>
        <v>571.1</v>
      </c>
      <c r="AH21" s="274"/>
      <c r="AI21" s="103"/>
      <c r="AJ21" s="72">
        <f>ROUND(SUM(AJ18:AJ20),1)</f>
        <v>-1.7</v>
      </c>
      <c r="AK21" s="41"/>
      <c r="AL21" s="548">
        <f>ROUND(IF(AG21=0,0,AJ21/ABS(AG21)),3)</f>
        <v>-3.0000000000000001E-3</v>
      </c>
      <c r="AM21" s="1712"/>
      <c r="AN21" s="1712"/>
    </row>
    <row r="22" spans="1:40">
      <c r="A22" s="301"/>
      <c r="B22" s="423" t="s">
        <v>532</v>
      </c>
      <c r="C22" s="301"/>
      <c r="D22" s="301"/>
      <c r="E22" s="274"/>
      <c r="F22" s="274"/>
      <c r="G22" s="274"/>
      <c r="H22" s="274"/>
      <c r="I22" s="274"/>
      <c r="J22" s="274"/>
      <c r="K22" s="274"/>
      <c r="L22" s="274"/>
      <c r="M22" s="274"/>
      <c r="N22" s="274"/>
      <c r="O22" s="274"/>
      <c r="P22" s="274"/>
      <c r="Q22" s="299"/>
      <c r="R22" s="274"/>
      <c r="S22" s="299"/>
      <c r="T22" s="274"/>
      <c r="U22" s="299"/>
      <c r="V22" s="274"/>
      <c r="W22" s="1164"/>
      <c r="X22" s="274"/>
      <c r="Y22" s="299"/>
      <c r="Z22" s="274"/>
      <c r="AA22" s="1164"/>
      <c r="AB22" s="274"/>
      <c r="AC22" s="534"/>
      <c r="AD22" s="297"/>
      <c r="AE22" s="1264"/>
      <c r="AF22" s="274"/>
      <c r="AG22" s="297"/>
      <c r="AH22" s="274"/>
      <c r="AI22" s="103"/>
      <c r="AJ22" s="297"/>
      <c r="AL22" s="101"/>
      <c r="AM22" s="1712"/>
      <c r="AN22" s="1712"/>
    </row>
    <row r="23" spans="1:40">
      <c r="A23" s="301"/>
      <c r="B23" s="294" t="s">
        <v>374</v>
      </c>
      <c r="C23" s="301"/>
      <c r="D23" s="301"/>
      <c r="E23" s="274">
        <v>0</v>
      </c>
      <c r="F23" s="274"/>
      <c r="G23" s="274">
        <v>0</v>
      </c>
      <c r="H23" s="274"/>
      <c r="I23" s="274">
        <v>0</v>
      </c>
      <c r="J23" s="274"/>
      <c r="K23" s="274">
        <v>0</v>
      </c>
      <c r="L23" s="564"/>
      <c r="M23" s="274">
        <v>0</v>
      </c>
      <c r="N23" s="564"/>
      <c r="O23" s="274">
        <v>0</v>
      </c>
      <c r="P23" s="564"/>
      <c r="Q23" s="274">
        <v>0</v>
      </c>
      <c r="R23" s="564"/>
      <c r="S23" s="274">
        <v>0</v>
      </c>
      <c r="T23" s="274"/>
      <c r="U23" s="274">
        <v>0</v>
      </c>
      <c r="V23" s="564"/>
      <c r="W23" s="274">
        <v>0</v>
      </c>
      <c r="X23" s="564"/>
      <c r="Y23" s="274">
        <f>$AD23-SUM($E23:W23)</f>
        <v>0</v>
      </c>
      <c r="Z23" s="564"/>
      <c r="AA23" s="274"/>
      <c r="AB23" s="274"/>
      <c r="AC23" s="534"/>
      <c r="AD23" s="542">
        <v>0</v>
      </c>
      <c r="AE23" s="274"/>
      <c r="AF23" s="535" t="s">
        <v>103</v>
      </c>
      <c r="AG23" s="542">
        <v>0</v>
      </c>
      <c r="AH23" s="274"/>
      <c r="AI23" s="103"/>
      <c r="AJ23" s="274">
        <f>ROUND(AD23-AG23,1)</f>
        <v>0</v>
      </c>
      <c r="AL23" s="276">
        <f>ROUND(IF(AG23=0,0,AJ23/ABS(AG23)),3)</f>
        <v>0</v>
      </c>
      <c r="AM23" s="1712"/>
      <c r="AN23" s="1712"/>
    </row>
    <row r="24" spans="1:40">
      <c r="A24" s="301"/>
      <c r="B24" s="294" t="s">
        <v>375</v>
      </c>
      <c r="C24" s="301"/>
      <c r="D24" s="301"/>
      <c r="E24" s="274">
        <v>3.2</v>
      </c>
      <c r="F24" s="274"/>
      <c r="G24" s="274">
        <v>0</v>
      </c>
      <c r="H24" s="274"/>
      <c r="I24" s="274">
        <v>1.2999999999999998</v>
      </c>
      <c r="J24" s="274"/>
      <c r="K24" s="274">
        <v>0</v>
      </c>
      <c r="L24" s="564"/>
      <c r="M24" s="274">
        <v>-9.9999999999999645E-2</v>
      </c>
      <c r="N24" s="564"/>
      <c r="O24" s="274">
        <v>1.5</v>
      </c>
      <c r="P24" s="564"/>
      <c r="Q24" s="274">
        <v>9.9999999999999645E-2</v>
      </c>
      <c r="R24" s="564"/>
      <c r="S24" s="274">
        <v>0</v>
      </c>
      <c r="T24" s="274"/>
      <c r="U24" s="274">
        <v>0.70000000000000018</v>
      </c>
      <c r="V24" s="564"/>
      <c r="W24" s="274">
        <v>9.9999999999999645E-2</v>
      </c>
      <c r="X24" s="564"/>
      <c r="Y24" s="274">
        <f>$AD24-SUM($E24:W24)</f>
        <v>0.10000000000000053</v>
      </c>
      <c r="Z24" s="564"/>
      <c r="AA24" s="274"/>
      <c r="AB24" s="274"/>
      <c r="AC24" s="534"/>
      <c r="AD24" s="542">
        <v>6.9</v>
      </c>
      <c r="AE24" s="274"/>
      <c r="AF24" s="535" t="s">
        <v>103</v>
      </c>
      <c r="AG24" s="542">
        <v>12</v>
      </c>
      <c r="AH24" s="274"/>
      <c r="AI24" s="103"/>
      <c r="AJ24" s="274">
        <f>ROUND(AD24-AG24,1)</f>
        <v>-5.0999999999999996</v>
      </c>
      <c r="AL24" s="553">
        <f>ROUND(IF(AG24=0,1,AJ24/ABS(AG24)),3)</f>
        <v>-0.42499999999999999</v>
      </c>
      <c r="AM24" s="1712"/>
      <c r="AN24" s="1712"/>
    </row>
    <row r="25" spans="1:40">
      <c r="A25" s="301"/>
      <c r="B25" s="294" t="s">
        <v>379</v>
      </c>
      <c r="C25" s="3"/>
      <c r="D25" s="301"/>
      <c r="E25" s="274">
        <v>46.2</v>
      </c>
      <c r="F25" s="274"/>
      <c r="G25" s="274">
        <v>50.399999999999991</v>
      </c>
      <c r="H25" s="274"/>
      <c r="I25" s="274">
        <v>54.900000000000006</v>
      </c>
      <c r="J25" s="274"/>
      <c r="K25" s="274">
        <v>52.2</v>
      </c>
      <c r="L25" s="564"/>
      <c r="M25" s="274">
        <v>56.600000000000037</v>
      </c>
      <c r="N25" s="564"/>
      <c r="O25" s="274">
        <v>52.5</v>
      </c>
      <c r="P25" s="564"/>
      <c r="Q25" s="274">
        <v>49.599999999999966</v>
      </c>
      <c r="R25" s="564"/>
      <c r="S25" s="274">
        <v>52.000000000000057</v>
      </c>
      <c r="T25" s="274"/>
      <c r="U25" s="274">
        <v>48.099999999999966</v>
      </c>
      <c r="V25" s="564"/>
      <c r="W25" s="274">
        <v>43.5</v>
      </c>
      <c r="X25" s="564"/>
      <c r="Y25" s="274">
        <f>$AD25-SUM($E25:W25)</f>
        <v>46.5</v>
      </c>
      <c r="Z25" s="564"/>
      <c r="AA25" s="274"/>
      <c r="AB25" s="274"/>
      <c r="AC25" s="534"/>
      <c r="AD25" s="542">
        <v>552.5</v>
      </c>
      <c r="AE25" s="274"/>
      <c r="AF25" s="535" t="s">
        <v>103</v>
      </c>
      <c r="AG25" s="542">
        <v>577.69999999999993</v>
      </c>
      <c r="AH25" s="274"/>
      <c r="AI25" s="103"/>
      <c r="AJ25" s="274">
        <f>ROUND(AD25-AG25,1)</f>
        <v>-25.2</v>
      </c>
      <c r="AK25" s="41"/>
      <c r="AL25" s="544">
        <f>ROUND(IF(AG25=0,0,AJ25/ABS(AG25)),3)</f>
        <v>-4.3999999999999997E-2</v>
      </c>
      <c r="AM25" s="1712"/>
      <c r="AN25" s="1712"/>
    </row>
    <row r="26" spans="1:40">
      <c r="A26" s="301"/>
      <c r="B26" s="88" t="s">
        <v>567</v>
      </c>
      <c r="C26" s="3"/>
      <c r="D26" s="301"/>
      <c r="E26" s="72">
        <f>ROUND(SUM(E23:E25),1)</f>
        <v>49.4</v>
      </c>
      <c r="F26" s="274"/>
      <c r="G26" s="72">
        <f>ROUND(SUM(G23:G25),1)</f>
        <v>50.4</v>
      </c>
      <c r="H26" s="274"/>
      <c r="I26" s="72">
        <f>ROUND(SUM(I23:I25),1)</f>
        <v>56.2</v>
      </c>
      <c r="J26" s="274"/>
      <c r="K26" s="72">
        <f>ROUND(SUM(K23:K25),1)</f>
        <v>52.2</v>
      </c>
      <c r="L26" s="274"/>
      <c r="M26" s="72">
        <f>ROUND(SUM(M23:M25),1)</f>
        <v>56.5</v>
      </c>
      <c r="N26" s="274"/>
      <c r="O26" s="72">
        <f>ROUND(SUM(O23:O25),1)</f>
        <v>54</v>
      </c>
      <c r="P26" s="274"/>
      <c r="Q26" s="72">
        <f>ROUND(SUM(Q23:Q25),1)</f>
        <v>49.7</v>
      </c>
      <c r="R26" s="274"/>
      <c r="S26" s="72">
        <f>ROUND(SUM(S23:S25),1)</f>
        <v>52</v>
      </c>
      <c r="T26" s="13"/>
      <c r="U26" s="72">
        <f>ROUND(SUM(U23:U25),1)</f>
        <v>48.8</v>
      </c>
      <c r="V26" s="274"/>
      <c r="W26" s="72">
        <f>ROUND(SUM(W23:W25),1)</f>
        <v>43.6</v>
      </c>
      <c r="X26" s="274"/>
      <c r="Y26" s="72">
        <f>ROUND(SUM(Y23:Y25),1)</f>
        <v>46.6</v>
      </c>
      <c r="Z26" s="274"/>
      <c r="AA26" s="72">
        <f>ROUND(SUM(AA23:AA25),1)</f>
        <v>0</v>
      </c>
      <c r="AB26" s="274"/>
      <c r="AC26" s="534"/>
      <c r="AD26" s="72">
        <f>ROUND(SUM(AD23:AD25),1)</f>
        <v>559.4</v>
      </c>
      <c r="AE26" s="1264"/>
      <c r="AF26" s="274"/>
      <c r="AG26" s="72">
        <f>ROUND(SUM(AG23:AG25),1)</f>
        <v>589.70000000000005</v>
      </c>
      <c r="AH26" s="274"/>
      <c r="AI26" s="103"/>
      <c r="AJ26" s="72">
        <f>ROUND(SUM(AJ23:AJ25),1)</f>
        <v>-30.3</v>
      </c>
      <c r="AK26" s="41"/>
      <c r="AL26" s="549">
        <f>ROUND(IF(AG26=0,0,AJ26/ABS(AG26)),3)</f>
        <v>-5.0999999999999997E-2</v>
      </c>
      <c r="AM26" s="1712"/>
      <c r="AN26" s="1712"/>
    </row>
    <row r="27" spans="1:40">
      <c r="A27" s="301"/>
      <c r="B27" s="423" t="s">
        <v>590</v>
      </c>
      <c r="C27" s="301"/>
      <c r="D27" s="301"/>
      <c r="E27" s="285"/>
      <c r="F27" s="274"/>
      <c r="G27" s="285"/>
      <c r="H27" s="274"/>
      <c r="I27" s="299"/>
      <c r="J27" s="274"/>
      <c r="K27" s="299"/>
      <c r="L27" s="274"/>
      <c r="M27" s="274"/>
      <c r="N27" s="274"/>
      <c r="O27" s="274"/>
      <c r="P27" s="274"/>
      <c r="Q27" s="299"/>
      <c r="R27" s="274"/>
      <c r="S27" s="299"/>
      <c r="T27" s="274"/>
      <c r="U27" s="299"/>
      <c r="V27" s="274"/>
      <c r="W27" s="299"/>
      <c r="X27" s="274"/>
      <c r="Y27" s="299"/>
      <c r="Z27" s="274"/>
      <c r="AA27" s="299"/>
      <c r="AB27" s="274"/>
      <c r="AC27" s="534"/>
      <c r="AD27" s="274"/>
      <c r="AE27" s="1275"/>
      <c r="AF27" s="377"/>
      <c r="AG27" s="274"/>
      <c r="AH27" s="297"/>
      <c r="AI27" s="102"/>
      <c r="AJ27" s="297"/>
      <c r="AK27" s="100"/>
      <c r="AL27" s="276"/>
      <c r="AM27" s="1712"/>
      <c r="AN27" s="1712"/>
    </row>
    <row r="28" spans="1:40">
      <c r="A28" s="301"/>
      <c r="B28" s="294" t="s">
        <v>385</v>
      </c>
      <c r="C28" s="301"/>
      <c r="D28" s="301"/>
      <c r="E28" s="274">
        <v>0</v>
      </c>
      <c r="F28" s="274"/>
      <c r="G28" s="274">
        <v>0</v>
      </c>
      <c r="H28" s="274"/>
      <c r="I28" s="274">
        <v>25.7</v>
      </c>
      <c r="J28" s="274"/>
      <c r="K28" s="274">
        <v>25.8</v>
      </c>
      <c r="L28" s="564"/>
      <c r="M28" s="274">
        <v>25.7</v>
      </c>
      <c r="N28" s="564"/>
      <c r="O28" s="274">
        <v>25.700000000000006</v>
      </c>
      <c r="P28" s="564"/>
      <c r="Q28" s="274">
        <v>25.799999999999983</v>
      </c>
      <c r="R28" s="564"/>
      <c r="S28" s="274">
        <v>25.700000000000017</v>
      </c>
      <c r="T28" s="564"/>
      <c r="U28" s="274">
        <v>25.699999999999989</v>
      </c>
      <c r="V28" s="564"/>
      <c r="W28" s="274">
        <v>25.800000000000011</v>
      </c>
      <c r="X28" s="564"/>
      <c r="Y28" s="274">
        <f>$AD28-SUM($E28:W28)</f>
        <v>25.699999999999989</v>
      </c>
      <c r="Z28" s="564"/>
      <c r="AA28" s="274"/>
      <c r="AB28" s="274"/>
      <c r="AC28" s="534"/>
      <c r="AD28" s="542">
        <v>231.6</v>
      </c>
      <c r="AE28" s="274">
        <f>'Exhibit F'!AG1193</f>
        <v>0</v>
      </c>
      <c r="AF28" s="535" t="s">
        <v>103</v>
      </c>
      <c r="AG28" s="542">
        <v>231.6</v>
      </c>
      <c r="AH28" s="297"/>
      <c r="AI28" s="102"/>
      <c r="AJ28" s="274">
        <f>ROUND(AD28-AG28,1)</f>
        <v>0</v>
      </c>
      <c r="AK28" s="100"/>
      <c r="AL28" s="544">
        <f>ROUND(IF(AG28=0,0,AJ28/ABS(AG28)),3)</f>
        <v>0</v>
      </c>
      <c r="AM28" s="1712"/>
      <c r="AN28" s="1712"/>
    </row>
    <row r="29" spans="1:40">
      <c r="B29" s="88" t="s">
        <v>568</v>
      </c>
      <c r="C29" s="301"/>
      <c r="D29" s="301"/>
      <c r="E29" s="72">
        <f>ROUND(SUM(E28:E28),1)</f>
        <v>0</v>
      </c>
      <c r="F29" s="274"/>
      <c r="G29" s="72">
        <f>ROUND(SUM(G28:G28),1)</f>
        <v>0</v>
      </c>
      <c r="H29" s="274"/>
      <c r="I29" s="72">
        <f>ROUND(SUM(I28:I28),1)</f>
        <v>25.7</v>
      </c>
      <c r="J29" s="274"/>
      <c r="K29" s="72">
        <f>ROUND(SUM(K28:K28),1)</f>
        <v>25.8</v>
      </c>
      <c r="L29" s="274"/>
      <c r="M29" s="72">
        <f>ROUND(SUM(M28:M28),1)</f>
        <v>25.7</v>
      </c>
      <c r="N29" s="274"/>
      <c r="O29" s="72">
        <f>ROUND(SUM(O28:O28),1)</f>
        <v>25.7</v>
      </c>
      <c r="P29" s="274"/>
      <c r="Q29" s="72">
        <f>ROUND(SUM(Q28:Q28),1)</f>
        <v>25.8</v>
      </c>
      <c r="R29" s="274"/>
      <c r="S29" s="72">
        <f>ROUND(SUM(S28:S28),1)</f>
        <v>25.7</v>
      </c>
      <c r="T29" s="13"/>
      <c r="U29" s="72">
        <f>ROUND(SUM(U28:U28),1)</f>
        <v>25.7</v>
      </c>
      <c r="V29" s="274"/>
      <c r="W29" s="72">
        <f>ROUND(SUM(W28:W28),1)</f>
        <v>25.8</v>
      </c>
      <c r="X29" s="274"/>
      <c r="Y29" s="72">
        <f>ROUND(SUM(Y28:Y28),1)</f>
        <v>25.7</v>
      </c>
      <c r="Z29" s="274"/>
      <c r="AA29" s="72">
        <f>ROUND(SUM(AA28:AA28),1)</f>
        <v>0</v>
      </c>
      <c r="AB29" s="274"/>
      <c r="AC29" s="534"/>
      <c r="AD29" s="72">
        <f>ROUND(SUM(AD28:AD28),1)</f>
        <v>231.6</v>
      </c>
      <c r="AE29" s="1275"/>
      <c r="AF29" s="377"/>
      <c r="AG29" s="72">
        <f>ROUND(SUM(AG28:AG28),1)</f>
        <v>231.6</v>
      </c>
      <c r="AH29" s="297"/>
      <c r="AI29" s="102"/>
      <c r="AJ29" s="72">
        <f>ROUND(SUM(AJ28:AJ28),1)</f>
        <v>0</v>
      </c>
      <c r="AK29" s="100"/>
      <c r="AL29" s="548">
        <f>ROUND(IF(AG29=0,0,AJ29/ABS(AG29)),3)</f>
        <v>0</v>
      </c>
      <c r="AM29" s="1712"/>
      <c r="AN29" s="1712"/>
    </row>
    <row r="30" spans="1:40">
      <c r="A30" s="301"/>
      <c r="B30" s="3"/>
      <c r="C30" s="301"/>
      <c r="D30" s="301"/>
      <c r="E30" s="285"/>
      <c r="F30" s="274"/>
      <c r="G30" s="285"/>
      <c r="H30" s="274"/>
      <c r="I30" s="299"/>
      <c r="J30" s="274"/>
      <c r="K30" s="299"/>
      <c r="L30" s="274"/>
      <c r="M30" s="274"/>
      <c r="N30" s="274"/>
      <c r="O30" s="274"/>
      <c r="P30" s="274"/>
      <c r="Q30" s="299"/>
      <c r="R30" s="274"/>
      <c r="S30" s="299"/>
      <c r="T30" s="274"/>
      <c r="U30" s="299"/>
      <c r="V30" s="274"/>
      <c r="W30" s="299"/>
      <c r="X30" s="274"/>
      <c r="Y30" s="299"/>
      <c r="Z30" s="274"/>
      <c r="AA30" s="299"/>
      <c r="AB30" s="274"/>
      <c r="AC30" s="534"/>
      <c r="AD30" s="274"/>
      <c r="AE30" s="1275"/>
      <c r="AF30" s="377"/>
      <c r="AG30" s="274"/>
      <c r="AH30" s="297"/>
      <c r="AI30" s="102"/>
      <c r="AJ30" s="297"/>
      <c r="AK30" s="100"/>
      <c r="AL30" s="1867"/>
      <c r="AM30" s="1712"/>
      <c r="AN30" s="1712"/>
    </row>
    <row r="31" spans="1:40" s="3" customFormat="1">
      <c r="B31" s="88" t="s">
        <v>389</v>
      </c>
      <c r="E31" s="722">
        <f>ROUND(SUM(+E26+E21+E29),1)</f>
        <v>98.4</v>
      </c>
      <c r="F31" s="13"/>
      <c r="G31" s="722">
        <f>ROUND(SUM(+G26+G21+G29),1)</f>
        <v>91.1</v>
      </c>
      <c r="H31" s="13"/>
      <c r="I31" s="722">
        <f>ROUND(SUM(+I26+I21+I29),1)</f>
        <v>147.6</v>
      </c>
      <c r="J31" s="13"/>
      <c r="K31" s="722">
        <f>ROUND(SUM(+K26+K21+K29),1)</f>
        <v>124.8</v>
      </c>
      <c r="L31" s="13"/>
      <c r="M31" s="1046">
        <f>ROUND(SUM(+M26+M21+M29),1)</f>
        <v>127.6</v>
      </c>
      <c r="N31" s="13"/>
      <c r="O31" s="1046">
        <f>ROUND(SUM(+O26+O21+O29),1)</f>
        <v>155.19999999999999</v>
      </c>
      <c r="P31" s="13"/>
      <c r="Q31" s="1046">
        <f>ROUND(SUM(+Q26+Q21+Q29),1)</f>
        <v>120.5</v>
      </c>
      <c r="R31" s="13"/>
      <c r="S31" s="1046">
        <f>ROUND(SUM(+S26+S21+S29),1)</f>
        <v>120.4</v>
      </c>
      <c r="T31" s="684"/>
      <c r="U31" s="1046">
        <f>ROUND(SUM(+U26+U21+U29),1)</f>
        <v>141.19999999999999</v>
      </c>
      <c r="V31" s="13"/>
      <c r="W31" s="1046">
        <f>ROUND(SUM(+W26+W21+W29),1)</f>
        <v>117.5</v>
      </c>
      <c r="X31" s="13"/>
      <c r="Y31" s="1046">
        <f>ROUND(SUM(+Y26+Y21+Y29),1)</f>
        <v>116.1</v>
      </c>
      <c r="Z31" s="13"/>
      <c r="AA31" s="1046">
        <f>ROUND(SUM(+AA26+AA21+AA29),1)</f>
        <v>0</v>
      </c>
      <c r="AB31" s="13"/>
      <c r="AC31" s="14"/>
      <c r="AD31" s="1046">
        <f>ROUND(SUM(+AD26+AD21+AD29),1)</f>
        <v>1360.4</v>
      </c>
      <c r="AE31" s="1868"/>
      <c r="AF31" s="17"/>
      <c r="AG31" s="1046">
        <f>ROUND(SUM(+AG26+AG21+AG29),1)</f>
        <v>1392.4</v>
      </c>
      <c r="AH31" s="18"/>
      <c r="AI31" s="102"/>
      <c r="AJ31" s="1046">
        <f>ROUND(SUM(+AJ26+AJ21+AJ29),1)</f>
        <v>-32</v>
      </c>
      <c r="AK31" s="329"/>
      <c r="AL31" s="549">
        <f>ROUND(IF(AG31=0,1,AJ31/ABS(AG31)),3)</f>
        <v>-2.3E-2</v>
      </c>
      <c r="AM31" s="1712"/>
      <c r="AN31" s="1712"/>
    </row>
    <row r="32" spans="1:40">
      <c r="A32" s="301"/>
      <c r="B32" s="301"/>
      <c r="C32" s="301"/>
      <c r="D32" s="301"/>
      <c r="E32" s="285"/>
      <c r="F32" s="274"/>
      <c r="G32" s="285"/>
      <c r="H32" s="274"/>
      <c r="I32" s="299"/>
      <c r="J32" s="274"/>
      <c r="K32" s="299"/>
      <c r="L32" s="274"/>
      <c r="M32" s="274"/>
      <c r="N32" s="274"/>
      <c r="O32" s="274"/>
      <c r="P32" s="274"/>
      <c r="Q32" s="299"/>
      <c r="R32" s="274"/>
      <c r="S32" s="299"/>
      <c r="T32" s="274"/>
      <c r="U32" s="299"/>
      <c r="V32" s="274"/>
      <c r="W32" s="299"/>
      <c r="X32" s="274"/>
      <c r="Y32" s="299"/>
      <c r="Z32" s="274"/>
      <c r="AA32" s="299"/>
      <c r="AB32" s="274"/>
      <c r="AC32" s="534"/>
      <c r="AD32" s="274"/>
      <c r="AE32" s="1275"/>
      <c r="AF32" s="377"/>
      <c r="AG32" s="274"/>
      <c r="AH32" s="297"/>
      <c r="AI32" s="102"/>
      <c r="AJ32" s="297"/>
      <c r="AK32" s="100"/>
      <c r="AL32" s="276"/>
      <c r="AM32" s="1712"/>
      <c r="AN32" s="1712"/>
    </row>
    <row r="33" spans="1:40">
      <c r="A33" s="301"/>
      <c r="B33" s="1248" t="s">
        <v>390</v>
      </c>
      <c r="C33" s="301"/>
      <c r="D33" s="301"/>
      <c r="E33" s="299"/>
      <c r="F33" s="274"/>
      <c r="G33" s="299"/>
      <c r="H33" s="274"/>
      <c r="I33" s="299"/>
      <c r="J33" s="274"/>
      <c r="K33" s="299"/>
      <c r="L33" s="274"/>
      <c r="M33" s="274"/>
      <c r="N33" s="274"/>
      <c r="O33" s="274"/>
      <c r="P33" s="274"/>
      <c r="Q33" s="299"/>
      <c r="R33" s="274"/>
      <c r="S33" s="299"/>
      <c r="T33" s="274"/>
      <c r="U33" s="299"/>
      <c r="V33" s="274"/>
      <c r="W33" s="299"/>
      <c r="X33" s="274"/>
      <c r="Y33" s="299"/>
      <c r="Z33" s="274"/>
      <c r="AA33" s="299"/>
      <c r="AB33" s="274"/>
      <c r="AC33" s="534"/>
      <c r="AD33" s="274"/>
      <c r="AE33" s="1264"/>
      <c r="AF33" s="274"/>
      <c r="AG33" s="274"/>
      <c r="AH33" s="297"/>
      <c r="AI33" s="102"/>
      <c r="AJ33" s="297"/>
      <c r="AK33" s="41"/>
      <c r="AL33" s="101"/>
      <c r="AM33" s="1712"/>
      <c r="AN33" s="1712"/>
    </row>
    <row r="34" spans="1:40">
      <c r="A34" s="301"/>
      <c r="B34" s="360" t="s">
        <v>391</v>
      </c>
      <c r="C34" s="301"/>
      <c r="D34" s="301"/>
      <c r="E34" s="299"/>
      <c r="F34" s="274"/>
      <c r="G34" s="299"/>
      <c r="H34" s="274"/>
      <c r="I34" s="299"/>
      <c r="J34" s="274"/>
      <c r="K34" s="299"/>
      <c r="L34" s="274"/>
      <c r="M34" s="274"/>
      <c r="N34" s="274"/>
      <c r="O34" s="274"/>
      <c r="P34" s="274"/>
      <c r="Q34" s="299"/>
      <c r="R34" s="274"/>
      <c r="S34" s="299"/>
      <c r="T34" s="274"/>
      <c r="U34" s="299"/>
      <c r="V34" s="274"/>
      <c r="W34" s="299"/>
      <c r="X34" s="274"/>
      <c r="Y34" s="299"/>
      <c r="Z34" s="274"/>
      <c r="AA34" s="299"/>
      <c r="AB34" s="274"/>
      <c r="AC34" s="534"/>
      <c r="AD34" s="274"/>
      <c r="AE34" s="1264"/>
      <c r="AF34" s="274"/>
      <c r="AG34" s="274"/>
      <c r="AH34" s="297"/>
      <c r="AI34" s="102"/>
      <c r="AJ34" s="297"/>
      <c r="AK34" s="41"/>
      <c r="AL34" s="101"/>
      <c r="AM34" s="1712"/>
      <c r="AN34" s="1712"/>
    </row>
    <row r="35" spans="1:40">
      <c r="A35" s="301"/>
      <c r="B35" s="360" t="s">
        <v>569</v>
      </c>
      <c r="C35" s="301"/>
      <c r="D35" s="301"/>
      <c r="E35" s="274">
        <v>0</v>
      </c>
      <c r="F35" s="274"/>
      <c r="G35" s="274">
        <v>0</v>
      </c>
      <c r="H35" s="274"/>
      <c r="I35" s="274">
        <v>0</v>
      </c>
      <c r="J35" s="274"/>
      <c r="K35" s="274">
        <v>0</v>
      </c>
      <c r="L35" s="564"/>
      <c r="M35" s="274">
        <v>0</v>
      </c>
      <c r="N35" s="564"/>
      <c r="O35" s="274">
        <v>23</v>
      </c>
      <c r="P35" s="564"/>
      <c r="Q35" s="274">
        <v>0</v>
      </c>
      <c r="R35" s="564"/>
      <c r="S35" s="274">
        <v>0</v>
      </c>
      <c r="T35" s="564"/>
      <c r="U35" s="274">
        <v>0</v>
      </c>
      <c r="V35" s="564"/>
      <c r="W35" s="274">
        <v>0</v>
      </c>
      <c r="X35" s="564"/>
      <c r="Y35" s="274">
        <f>$AD35-SUM($E35:W35)</f>
        <v>0</v>
      </c>
      <c r="Z35" s="564"/>
      <c r="AA35" s="274"/>
      <c r="AB35" s="274"/>
      <c r="AC35" s="534"/>
      <c r="AD35" s="542">
        <v>23</v>
      </c>
      <c r="AE35" s="274"/>
      <c r="AF35" s="535" t="s">
        <v>103</v>
      </c>
      <c r="AG35" s="542">
        <v>23</v>
      </c>
      <c r="AH35" s="297"/>
      <c r="AI35" s="102"/>
      <c r="AJ35" s="274">
        <f t="shared" ref="AJ35:AJ58" si="0">ROUND(AD35-AG35,1)</f>
        <v>0</v>
      </c>
      <c r="AK35" s="41"/>
      <c r="AL35" s="276">
        <f>ROUND(IF(AG35=0,0,AJ35/ABS(AG35)),3)</f>
        <v>0</v>
      </c>
      <c r="AM35" s="1712"/>
      <c r="AN35" s="1712"/>
    </row>
    <row r="36" spans="1:40">
      <c r="A36" s="301"/>
      <c r="B36" s="360" t="s">
        <v>394</v>
      </c>
      <c r="C36" s="301"/>
      <c r="D36" s="301"/>
      <c r="E36" s="274" t="s">
        <v>103</v>
      </c>
      <c r="F36" s="274"/>
      <c r="G36" s="274"/>
      <c r="H36" s="274"/>
      <c r="I36" s="274"/>
      <c r="J36" s="274"/>
      <c r="K36" s="274"/>
      <c r="L36" s="564"/>
      <c r="M36" s="274"/>
      <c r="N36" s="564"/>
      <c r="O36" s="274"/>
      <c r="P36" s="564"/>
      <c r="Q36" s="274"/>
      <c r="R36" s="564"/>
      <c r="S36" s="274"/>
      <c r="T36" s="564"/>
      <c r="U36" s="274"/>
      <c r="V36" s="564"/>
      <c r="W36" s="274"/>
      <c r="X36" s="564"/>
      <c r="Y36" s="274"/>
      <c r="Z36" s="564"/>
      <c r="AA36" s="274"/>
      <c r="AB36" s="274"/>
      <c r="AC36" s="534"/>
      <c r="AD36" s="299" t="s">
        <v>103</v>
      </c>
      <c r="AE36" s="1264"/>
      <c r="AF36" s="274"/>
      <c r="AG36" s="299" t="s">
        <v>103</v>
      </c>
      <c r="AH36" s="297"/>
      <c r="AI36" s="102"/>
      <c r="AJ36" s="274"/>
      <c r="AK36" s="41"/>
      <c r="AL36" s="101"/>
      <c r="AM36" s="1712"/>
      <c r="AN36" s="1712"/>
    </row>
    <row r="37" spans="1:40">
      <c r="A37" s="301"/>
      <c r="B37" s="360" t="s">
        <v>491</v>
      </c>
      <c r="C37" s="301"/>
      <c r="D37" s="301"/>
      <c r="E37" s="274">
        <v>5.8</v>
      </c>
      <c r="F37" s="274"/>
      <c r="G37" s="274">
        <v>6.0000000000000009</v>
      </c>
      <c r="H37" s="274"/>
      <c r="I37" s="274">
        <v>5.4999999999999991</v>
      </c>
      <c r="J37" s="274"/>
      <c r="K37" s="274">
        <v>4.8999999999999995</v>
      </c>
      <c r="L37" s="564"/>
      <c r="M37" s="274">
        <v>5.1000000000000005</v>
      </c>
      <c r="N37" s="564"/>
      <c r="O37" s="274">
        <v>4.900000000000003</v>
      </c>
      <c r="P37" s="564"/>
      <c r="Q37" s="274">
        <v>4.6999999999999957</v>
      </c>
      <c r="R37" s="564"/>
      <c r="S37" s="274">
        <v>5.2000000000000028</v>
      </c>
      <c r="T37" s="564"/>
      <c r="U37" s="274">
        <v>4.6999999999999957</v>
      </c>
      <c r="V37" s="564"/>
      <c r="W37" s="274">
        <v>4.9000000000000057</v>
      </c>
      <c r="X37" s="564"/>
      <c r="Y37" s="274">
        <f>$AD37-SUM($E37:W37)</f>
        <v>5.2999999999999972</v>
      </c>
      <c r="Z37" s="564"/>
      <c r="AA37" s="274"/>
      <c r="AB37" s="274"/>
      <c r="AC37" s="534"/>
      <c r="AD37" s="542">
        <v>57</v>
      </c>
      <c r="AE37" s="274"/>
      <c r="AF37" s="535" t="s">
        <v>103</v>
      </c>
      <c r="AG37" s="542">
        <v>61</v>
      </c>
      <c r="AH37" s="297"/>
      <c r="AI37" s="102"/>
      <c r="AJ37" s="274">
        <f t="shared" si="0"/>
        <v>-4</v>
      </c>
      <c r="AK37" s="41"/>
      <c r="AL37" s="276">
        <f>ROUND(IF(AG37=0,0,AJ37/ABS(AG37)),3)</f>
        <v>-6.6000000000000003E-2</v>
      </c>
      <c r="AM37" s="1712"/>
      <c r="AN37" s="1712"/>
    </row>
    <row r="38" spans="1:40">
      <c r="A38" s="301"/>
      <c r="B38" s="360" t="s">
        <v>399</v>
      </c>
      <c r="C38" s="301"/>
      <c r="D38" s="301"/>
      <c r="E38" s="274" t="s">
        <v>103</v>
      </c>
      <c r="F38" s="274"/>
      <c r="G38" s="274"/>
      <c r="H38" s="274"/>
      <c r="I38" s="274"/>
      <c r="J38" s="274"/>
      <c r="K38" s="274"/>
      <c r="L38" s="564"/>
      <c r="M38" s="274"/>
      <c r="N38" s="564"/>
      <c r="O38" s="274"/>
      <c r="P38" s="564"/>
      <c r="Q38" s="274"/>
      <c r="R38" s="564"/>
      <c r="S38" s="274"/>
      <c r="T38" s="564"/>
      <c r="U38" s="274"/>
      <c r="V38" s="564"/>
      <c r="W38" s="274"/>
      <c r="X38" s="564"/>
      <c r="Y38" s="274"/>
      <c r="Z38" s="564"/>
      <c r="AA38" s="274"/>
      <c r="AB38" s="274"/>
      <c r="AC38" s="534"/>
      <c r="AD38" s="299" t="s">
        <v>103</v>
      </c>
      <c r="AE38" s="1264"/>
      <c r="AF38" s="274"/>
      <c r="AG38" s="299" t="s">
        <v>103</v>
      </c>
      <c r="AH38" s="297"/>
      <c r="AI38" s="102"/>
      <c r="AJ38" s="274"/>
      <c r="AK38" s="41"/>
      <c r="AL38" s="101"/>
      <c r="AM38" s="1712"/>
      <c r="AN38" s="1712"/>
    </row>
    <row r="39" spans="1:40">
      <c r="A39" s="301"/>
      <c r="B39" s="360" t="s">
        <v>494</v>
      </c>
      <c r="C39" s="301"/>
      <c r="D39" s="301"/>
      <c r="E39" s="274">
        <v>1.4</v>
      </c>
      <c r="F39" s="274"/>
      <c r="G39" s="274">
        <v>2.5</v>
      </c>
      <c r="H39" s="274"/>
      <c r="I39" s="274">
        <v>1.8000000000000007</v>
      </c>
      <c r="J39" s="274"/>
      <c r="K39" s="274">
        <v>8.4999999999999982</v>
      </c>
      <c r="L39" s="564"/>
      <c r="M39" s="274">
        <v>2.5</v>
      </c>
      <c r="N39" s="564"/>
      <c r="O39" s="274">
        <v>4.4000000000000039</v>
      </c>
      <c r="P39" s="564"/>
      <c r="Q39" s="274">
        <v>3</v>
      </c>
      <c r="R39" s="564"/>
      <c r="S39" s="274">
        <v>4.0999999999999979</v>
      </c>
      <c r="T39" s="564"/>
      <c r="U39" s="274">
        <v>3.1999999999999993</v>
      </c>
      <c r="V39" s="564"/>
      <c r="W39" s="274">
        <v>0.40000000000000213</v>
      </c>
      <c r="X39" s="564"/>
      <c r="Y39" s="274">
        <f>$AD39-SUM($E39:W39)</f>
        <v>1.6999999999999993</v>
      </c>
      <c r="Z39" s="564"/>
      <c r="AA39" s="274"/>
      <c r="AB39" s="274"/>
      <c r="AC39" s="534"/>
      <c r="AD39" s="542">
        <v>33.5</v>
      </c>
      <c r="AE39" s="274"/>
      <c r="AF39" s="535" t="s">
        <v>103</v>
      </c>
      <c r="AG39" s="542">
        <v>37.5</v>
      </c>
      <c r="AH39" s="297"/>
      <c r="AI39" s="102"/>
      <c r="AJ39" s="274">
        <f t="shared" si="0"/>
        <v>-4</v>
      </c>
      <c r="AK39" s="41"/>
      <c r="AL39" s="276">
        <f>ROUND(IF(AG39=0,0,AJ39/ABS(AG39)),3)</f>
        <v>-0.107</v>
      </c>
      <c r="AM39" s="1712"/>
      <c r="AN39" s="1712"/>
    </row>
    <row r="40" spans="1:40">
      <c r="A40" s="301"/>
      <c r="B40" s="360" t="s">
        <v>570</v>
      </c>
      <c r="C40" s="301"/>
      <c r="D40" s="301"/>
      <c r="E40" s="274">
        <v>0</v>
      </c>
      <c r="F40" s="274"/>
      <c r="G40" s="274">
        <v>0</v>
      </c>
      <c r="H40" s="274"/>
      <c r="I40" s="274">
        <v>0</v>
      </c>
      <c r="J40" s="274"/>
      <c r="K40" s="274">
        <v>0</v>
      </c>
      <c r="L40" s="564"/>
      <c r="M40" s="274">
        <v>0</v>
      </c>
      <c r="N40" s="564"/>
      <c r="O40" s="274">
        <v>0</v>
      </c>
      <c r="P40" s="564"/>
      <c r="Q40" s="274">
        <v>0</v>
      </c>
      <c r="R40" s="564"/>
      <c r="S40" s="274">
        <v>0</v>
      </c>
      <c r="T40" s="564"/>
      <c r="U40" s="274">
        <v>0</v>
      </c>
      <c r="V40" s="564"/>
      <c r="W40" s="274">
        <v>0</v>
      </c>
      <c r="X40" s="564"/>
      <c r="Y40" s="274">
        <f>$AD40-SUM($E40:W40)</f>
        <v>0</v>
      </c>
      <c r="Z40" s="564"/>
      <c r="AA40" s="274"/>
      <c r="AB40" s="274"/>
      <c r="AC40" s="534"/>
      <c r="AD40" s="542">
        <v>0</v>
      </c>
      <c r="AE40" s="274"/>
      <c r="AF40" s="535" t="s">
        <v>103</v>
      </c>
      <c r="AG40" s="542">
        <v>0</v>
      </c>
      <c r="AH40" s="297"/>
      <c r="AI40" s="102"/>
      <c r="AJ40" s="274">
        <f>ROUND(AD40-AG40,1)</f>
        <v>0</v>
      </c>
      <c r="AK40" s="41"/>
      <c r="AL40" s="276">
        <f>ROUND(IF(AG40=0,0,AJ40/ABS(AG40)),3)</f>
        <v>0</v>
      </c>
      <c r="AM40" s="1712"/>
      <c r="AN40" s="1712"/>
    </row>
    <row r="41" spans="1:40">
      <c r="A41" s="301"/>
      <c r="B41" s="360" t="s">
        <v>497</v>
      </c>
      <c r="C41" s="301"/>
      <c r="D41" s="301"/>
      <c r="E41" s="274">
        <v>54.4</v>
      </c>
      <c r="F41" s="274"/>
      <c r="G41" s="274">
        <v>58.1</v>
      </c>
      <c r="H41" s="274"/>
      <c r="I41" s="274">
        <v>64.300000000000011</v>
      </c>
      <c r="J41" s="274"/>
      <c r="K41" s="274">
        <v>58.799999999999983</v>
      </c>
      <c r="L41" s="564"/>
      <c r="M41" s="274">
        <v>59.400000000000006</v>
      </c>
      <c r="N41" s="564"/>
      <c r="O41" s="274">
        <v>55.700000000000017</v>
      </c>
      <c r="P41" s="564"/>
      <c r="Q41" s="274">
        <v>48.899999999999977</v>
      </c>
      <c r="R41" s="564"/>
      <c r="S41" s="274">
        <v>58.199999999999989</v>
      </c>
      <c r="T41" s="564"/>
      <c r="U41" s="274">
        <v>53.899999999999977</v>
      </c>
      <c r="V41" s="564"/>
      <c r="W41" s="274">
        <v>53.199999999999989</v>
      </c>
      <c r="X41" s="564"/>
      <c r="Y41" s="274">
        <f>$AD41-SUM($E41:W41)</f>
        <v>54.5</v>
      </c>
      <c r="Z41" s="564"/>
      <c r="AA41" s="274"/>
      <c r="AB41" s="274"/>
      <c r="AC41" s="534"/>
      <c r="AD41" s="542">
        <v>619.4</v>
      </c>
      <c r="AE41" s="274"/>
      <c r="AF41" s="535" t="s">
        <v>103</v>
      </c>
      <c r="AG41" s="542">
        <v>634.5</v>
      </c>
      <c r="AH41" s="297"/>
      <c r="AI41" s="102"/>
      <c r="AJ41" s="274">
        <f t="shared" si="0"/>
        <v>-15.1</v>
      </c>
      <c r="AK41" s="41"/>
      <c r="AL41" s="276">
        <f>ROUND(IF(AG41=0,0,AJ41/ABS(AG41)),3)</f>
        <v>-2.4E-2</v>
      </c>
      <c r="AM41" s="1712"/>
      <c r="AN41" s="1712"/>
    </row>
    <row r="42" spans="1:40">
      <c r="A42" s="301"/>
      <c r="B42" s="360" t="s">
        <v>498</v>
      </c>
      <c r="C42" s="301"/>
      <c r="D42" s="301"/>
      <c r="E42" s="274">
        <v>0.3</v>
      </c>
      <c r="F42" s="274"/>
      <c r="G42" s="274">
        <v>0.39999999999999997</v>
      </c>
      <c r="H42" s="274"/>
      <c r="I42" s="274">
        <v>1.3</v>
      </c>
      <c r="J42" s="274"/>
      <c r="K42" s="274">
        <v>0.40000000000000013</v>
      </c>
      <c r="L42" s="564"/>
      <c r="M42" s="274">
        <v>10.399999999999999</v>
      </c>
      <c r="N42" s="564"/>
      <c r="O42" s="274">
        <v>1.1999999999999993</v>
      </c>
      <c r="P42" s="564"/>
      <c r="Q42" s="274">
        <v>8.1000000000000032</v>
      </c>
      <c r="R42" s="564"/>
      <c r="S42" s="274">
        <v>-0.10000000000000142</v>
      </c>
      <c r="T42" s="564"/>
      <c r="U42" s="274">
        <v>1.3000000000000007</v>
      </c>
      <c r="V42" s="564"/>
      <c r="W42" s="274">
        <v>0</v>
      </c>
      <c r="X42" s="564"/>
      <c r="Y42" s="274">
        <f>$AD42-SUM($E42:W42)</f>
        <v>0</v>
      </c>
      <c r="Z42" s="564"/>
      <c r="AA42" s="274"/>
      <c r="AB42" s="274"/>
      <c r="AC42" s="534"/>
      <c r="AD42" s="542">
        <v>23.3</v>
      </c>
      <c r="AE42" s="274"/>
      <c r="AF42" s="535" t="s">
        <v>103</v>
      </c>
      <c r="AG42" s="542">
        <v>25.5</v>
      </c>
      <c r="AH42" s="297"/>
      <c r="AI42" s="102"/>
      <c r="AJ42" s="274">
        <f t="shared" si="0"/>
        <v>-2.2000000000000002</v>
      </c>
      <c r="AK42" s="41"/>
      <c r="AL42" s="553">
        <f>ROUND(IF(AG42=0,1,AJ42/ABS(AG42)),3)</f>
        <v>-8.5999999999999993E-2</v>
      </c>
      <c r="AM42" s="1712"/>
      <c r="AN42" s="1712"/>
    </row>
    <row r="43" spans="1:40">
      <c r="A43" s="301"/>
      <c r="B43" s="360" t="s">
        <v>407</v>
      </c>
      <c r="C43" s="301"/>
      <c r="D43" s="301"/>
      <c r="E43" s="274">
        <v>2</v>
      </c>
      <c r="F43" s="274"/>
      <c r="G43" s="274">
        <v>3.2</v>
      </c>
      <c r="H43" s="274"/>
      <c r="I43" s="274">
        <v>2.5999999999999996</v>
      </c>
      <c r="J43" s="274"/>
      <c r="K43" s="274">
        <v>3.7</v>
      </c>
      <c r="L43" s="564"/>
      <c r="M43" s="274">
        <v>2.7</v>
      </c>
      <c r="N43" s="564"/>
      <c r="O43" s="274">
        <v>1.6000000000000014</v>
      </c>
      <c r="P43" s="564"/>
      <c r="Q43" s="274">
        <v>3.3999999999999986</v>
      </c>
      <c r="R43" s="564"/>
      <c r="S43" s="274">
        <v>10.3</v>
      </c>
      <c r="T43" s="564"/>
      <c r="U43" s="274">
        <v>3.7999999999999972</v>
      </c>
      <c r="V43" s="564"/>
      <c r="W43" s="274">
        <v>2.4000000000000057</v>
      </c>
      <c r="X43" s="564"/>
      <c r="Y43" s="274">
        <f>$AD43-SUM($E43:W43)</f>
        <v>2.5</v>
      </c>
      <c r="Z43" s="564"/>
      <c r="AA43" s="274"/>
      <c r="AB43" s="274"/>
      <c r="AC43" s="534"/>
      <c r="AD43" s="542">
        <v>38.200000000000003</v>
      </c>
      <c r="AE43" s="1264"/>
      <c r="AF43" s="274" t="s">
        <v>103</v>
      </c>
      <c r="AG43" s="542">
        <v>26.4</v>
      </c>
      <c r="AH43" s="297"/>
      <c r="AI43" s="102"/>
      <c r="AJ43" s="274">
        <f t="shared" si="0"/>
        <v>11.8</v>
      </c>
      <c r="AK43" s="41"/>
      <c r="AL43" s="553">
        <f>ROUND(IF(AG43=0,1,AJ43/ABS(AG43)),3)</f>
        <v>0.44700000000000001</v>
      </c>
      <c r="AM43" s="1712"/>
      <c r="AN43" s="1712"/>
    </row>
    <row r="44" spans="1:40">
      <c r="A44" s="301"/>
      <c r="B44" s="360" t="s">
        <v>413</v>
      </c>
      <c r="C44" s="301"/>
      <c r="D44" s="301"/>
      <c r="E44" s="274">
        <v>3.9</v>
      </c>
      <c r="F44" s="274"/>
      <c r="G44" s="274">
        <v>4</v>
      </c>
      <c r="H44" s="274"/>
      <c r="I44" s="274">
        <v>4</v>
      </c>
      <c r="J44" s="274"/>
      <c r="K44" s="274">
        <v>4.2000000000000011</v>
      </c>
      <c r="L44" s="564"/>
      <c r="M44" s="274">
        <v>4.5000000000000018</v>
      </c>
      <c r="N44" s="564"/>
      <c r="O44" s="274">
        <v>4.2999999999999972</v>
      </c>
      <c r="P44" s="564"/>
      <c r="Q44" s="274">
        <v>4.1000000000000014</v>
      </c>
      <c r="R44" s="564"/>
      <c r="S44" s="274">
        <v>4.1000000000000014</v>
      </c>
      <c r="T44" s="564"/>
      <c r="U44" s="274">
        <v>3.8999999999999986</v>
      </c>
      <c r="V44" s="564"/>
      <c r="W44" s="274">
        <v>4.1000000000000014</v>
      </c>
      <c r="X44" s="564"/>
      <c r="Y44" s="274">
        <f>$AD44-SUM($E44:W44)</f>
        <v>4</v>
      </c>
      <c r="Z44" s="564"/>
      <c r="AA44" s="274"/>
      <c r="AB44" s="274"/>
      <c r="AC44" s="534"/>
      <c r="AD44" s="542">
        <v>45.1</v>
      </c>
      <c r="AE44" s="1264"/>
      <c r="AF44" s="274" t="s">
        <v>103</v>
      </c>
      <c r="AG44" s="542">
        <v>37</v>
      </c>
      <c r="AH44" s="297"/>
      <c r="AI44" s="102"/>
      <c r="AJ44" s="274">
        <f t="shared" si="0"/>
        <v>8.1</v>
      </c>
      <c r="AK44" s="41"/>
      <c r="AL44" s="954">
        <f>ROUND(IF(AG44=0,1,AJ44/ABS(AG44)),3)</f>
        <v>0.219</v>
      </c>
      <c r="AM44" s="1712"/>
      <c r="AN44" s="1712"/>
    </row>
    <row r="45" spans="1:40">
      <c r="A45" s="301"/>
      <c r="B45" s="360" t="s">
        <v>414</v>
      </c>
      <c r="C45" s="301"/>
      <c r="D45" s="301"/>
      <c r="E45" s="274">
        <v>0</v>
      </c>
      <c r="F45" s="274"/>
      <c r="G45" s="274">
        <v>0.5</v>
      </c>
      <c r="H45" s="274"/>
      <c r="I45" s="274">
        <v>0</v>
      </c>
      <c r="J45" s="274"/>
      <c r="K45" s="274">
        <v>0</v>
      </c>
      <c r="L45" s="564"/>
      <c r="M45" s="274">
        <v>0</v>
      </c>
      <c r="N45" s="564"/>
      <c r="O45" s="274">
        <v>0</v>
      </c>
      <c r="P45" s="564"/>
      <c r="Q45" s="274">
        <v>0</v>
      </c>
      <c r="R45" s="564"/>
      <c r="S45" s="274">
        <v>0</v>
      </c>
      <c r="T45" s="564"/>
      <c r="U45" s="274">
        <v>0</v>
      </c>
      <c r="V45" s="564"/>
      <c r="W45" s="274">
        <v>0</v>
      </c>
      <c r="X45" s="564"/>
      <c r="Y45" s="274">
        <f>$AD45-SUM($E45:W45)</f>
        <v>0</v>
      </c>
      <c r="Z45" s="564"/>
      <c r="AA45" s="274"/>
      <c r="AB45" s="274"/>
      <c r="AC45" s="534"/>
      <c r="AD45" s="542">
        <v>0.5</v>
      </c>
      <c r="AE45" s="274"/>
      <c r="AF45" s="535" t="s">
        <v>103</v>
      </c>
      <c r="AG45" s="542">
        <v>0</v>
      </c>
      <c r="AH45" s="297"/>
      <c r="AI45" s="102"/>
      <c r="AJ45" s="274">
        <f>ROUND(AD45-AG45,1)</f>
        <v>0.5</v>
      </c>
      <c r="AK45" s="41"/>
      <c r="AL45" s="954">
        <f>ROUND(IF(AG45=0,1,AJ45/ABS(AG45)),3)</f>
        <v>1</v>
      </c>
      <c r="AM45" s="1712"/>
      <c r="AN45" s="1712"/>
    </row>
    <row r="46" spans="1:40">
      <c r="A46" s="301"/>
      <c r="B46" s="360" t="s">
        <v>415</v>
      </c>
      <c r="C46" s="301"/>
      <c r="D46" s="301"/>
      <c r="E46" s="274" t="s">
        <v>103</v>
      </c>
      <c r="F46" s="274"/>
      <c r="G46" s="274"/>
      <c r="H46" s="274"/>
      <c r="I46" s="274"/>
      <c r="J46" s="274"/>
      <c r="K46" s="274"/>
      <c r="L46" s="564"/>
      <c r="M46" s="274"/>
      <c r="N46" s="564"/>
      <c r="O46" s="274"/>
      <c r="P46" s="564"/>
      <c r="Q46" s="274"/>
      <c r="R46" s="564"/>
      <c r="S46" s="274"/>
      <c r="T46" s="564"/>
      <c r="U46" s="274"/>
      <c r="V46" s="564"/>
      <c r="W46" s="274"/>
      <c r="X46" s="564"/>
      <c r="Y46" s="274"/>
      <c r="Z46" s="564"/>
      <c r="AA46" s="274"/>
      <c r="AB46" s="274"/>
      <c r="AC46" s="534"/>
      <c r="AD46" s="299" t="s">
        <v>103</v>
      </c>
      <c r="AE46" s="1264"/>
      <c r="AF46" s="274"/>
      <c r="AG46" s="299" t="s">
        <v>103</v>
      </c>
      <c r="AH46" s="297"/>
      <c r="AI46" s="102"/>
      <c r="AJ46" s="274"/>
      <c r="AK46" s="41"/>
      <c r="AL46" s="101"/>
      <c r="AM46" s="1712"/>
      <c r="AN46" s="1712"/>
    </row>
    <row r="47" spans="1:40">
      <c r="A47" s="301"/>
      <c r="B47" s="360" t="s">
        <v>502</v>
      </c>
      <c r="C47" s="301"/>
      <c r="D47" s="301"/>
      <c r="E47" s="274">
        <v>103</v>
      </c>
      <c r="F47" s="274"/>
      <c r="G47" s="274">
        <v>1321.3000000000002</v>
      </c>
      <c r="H47" s="274"/>
      <c r="I47" s="274">
        <v>9.9999999999909051E-2</v>
      </c>
      <c r="J47" s="274"/>
      <c r="K47" s="274">
        <v>402</v>
      </c>
      <c r="L47" s="564"/>
      <c r="M47" s="274">
        <v>7.5999999999999091</v>
      </c>
      <c r="N47" s="564"/>
      <c r="O47" s="274">
        <v>378.5</v>
      </c>
      <c r="P47" s="564"/>
      <c r="Q47" s="274">
        <v>265.09999999999991</v>
      </c>
      <c r="R47" s="564"/>
      <c r="S47" s="274">
        <v>0.59999999999990905</v>
      </c>
      <c r="T47" s="564"/>
      <c r="U47" s="274">
        <v>164</v>
      </c>
      <c r="V47" s="564"/>
      <c r="W47" s="274">
        <v>21.700000000000273</v>
      </c>
      <c r="X47" s="564"/>
      <c r="Y47" s="274">
        <f>$AD47-SUM($E47:W47)</f>
        <v>22.099999999999909</v>
      </c>
      <c r="Z47" s="564"/>
      <c r="AA47" s="274"/>
      <c r="AB47" s="274"/>
      <c r="AC47" s="534"/>
      <c r="AD47" s="542">
        <v>2686</v>
      </c>
      <c r="AE47" s="274"/>
      <c r="AF47" s="535"/>
      <c r="AG47" s="542">
        <v>2929.8</v>
      </c>
      <c r="AH47" s="297"/>
      <c r="AI47" s="102"/>
      <c r="AJ47" s="274">
        <f t="shared" si="0"/>
        <v>-243.8</v>
      </c>
      <c r="AK47" s="41"/>
      <c r="AL47" s="1100">
        <f>ROUND(IF(AG47=0,0,AJ47/ABS(AG47)),3)</f>
        <v>-8.3000000000000004E-2</v>
      </c>
      <c r="AM47" s="1712"/>
      <c r="AN47" s="1712"/>
    </row>
    <row r="48" spans="1:40" s="382" customFormat="1">
      <c r="B48" s="360" t="s">
        <v>504</v>
      </c>
      <c r="C48" s="301"/>
      <c r="D48" s="301"/>
      <c r="E48" s="274">
        <v>0</v>
      </c>
      <c r="F48" s="299"/>
      <c r="G48" s="274">
        <v>0</v>
      </c>
      <c r="H48" s="299"/>
      <c r="I48" s="274">
        <v>0</v>
      </c>
      <c r="J48" s="299"/>
      <c r="K48" s="274">
        <v>0</v>
      </c>
      <c r="L48" s="564"/>
      <c r="M48" s="274">
        <v>0</v>
      </c>
      <c r="N48" s="564"/>
      <c r="O48" s="274">
        <v>0</v>
      </c>
      <c r="P48" s="564"/>
      <c r="Q48" s="274">
        <v>0</v>
      </c>
      <c r="R48" s="564"/>
      <c r="S48" s="274">
        <v>0</v>
      </c>
      <c r="T48" s="564"/>
      <c r="U48" s="274">
        <v>0</v>
      </c>
      <c r="V48" s="564"/>
      <c r="W48" s="274">
        <v>0</v>
      </c>
      <c r="X48" s="564"/>
      <c r="Y48" s="274">
        <f>$AD48-SUM($E48:W48)</f>
        <v>0</v>
      </c>
      <c r="Z48" s="564"/>
      <c r="AA48" s="274"/>
      <c r="AB48" s="274"/>
      <c r="AC48" s="534"/>
      <c r="AD48" s="542">
        <v>0</v>
      </c>
      <c r="AE48" s="274"/>
      <c r="AF48" s="535" t="s">
        <v>103</v>
      </c>
      <c r="AG48" s="542">
        <v>0</v>
      </c>
      <c r="AH48" s="297"/>
      <c r="AI48" s="102"/>
      <c r="AJ48" s="274">
        <f t="shared" si="0"/>
        <v>0</v>
      </c>
      <c r="AK48" s="278"/>
      <c r="AL48" s="276">
        <f>ROUND(IF(AG48=0,0,AJ48/ABS(AG48)),3)</f>
        <v>0</v>
      </c>
      <c r="AM48" s="1712"/>
      <c r="AN48" s="1712"/>
    </row>
    <row r="49" spans="1:40">
      <c r="A49" s="301"/>
      <c r="B49" s="360" t="s">
        <v>505</v>
      </c>
      <c r="C49" s="301"/>
      <c r="D49" s="301"/>
      <c r="E49" s="274">
        <v>0.4</v>
      </c>
      <c r="F49" s="274"/>
      <c r="G49" s="274">
        <v>-0.60000000000000009</v>
      </c>
      <c r="H49" s="274"/>
      <c r="I49" s="274">
        <v>0.5</v>
      </c>
      <c r="J49" s="274"/>
      <c r="K49" s="274">
        <v>0.5</v>
      </c>
      <c r="L49" s="564"/>
      <c r="M49" s="274">
        <v>0.60000000000000009</v>
      </c>
      <c r="N49" s="564"/>
      <c r="O49" s="274">
        <v>0</v>
      </c>
      <c r="P49" s="564"/>
      <c r="Q49" s="274">
        <v>0.5</v>
      </c>
      <c r="R49" s="564"/>
      <c r="S49" s="274">
        <v>0</v>
      </c>
      <c r="T49" s="564"/>
      <c r="U49" s="274">
        <v>5.6</v>
      </c>
      <c r="V49" s="564"/>
      <c r="W49" s="274">
        <v>0.29999999999999982</v>
      </c>
      <c r="X49" s="564"/>
      <c r="Y49" s="274">
        <f>$AD49-SUM($E49:W49)</f>
        <v>0</v>
      </c>
      <c r="Z49" s="564"/>
      <c r="AA49" s="274"/>
      <c r="AB49" s="274"/>
      <c r="AC49" s="534"/>
      <c r="AD49" s="542">
        <v>7.8</v>
      </c>
      <c r="AE49" s="274"/>
      <c r="AF49" s="535" t="s">
        <v>103</v>
      </c>
      <c r="AG49" s="542">
        <v>9.8000000000000007</v>
      </c>
      <c r="AH49" s="297"/>
      <c r="AI49" s="102"/>
      <c r="AJ49" s="274">
        <f t="shared" si="0"/>
        <v>-2</v>
      </c>
      <c r="AK49" s="41"/>
      <c r="AL49" s="553">
        <f>ROUND(IF(AG49=0,1,AJ49/ABS(AG49)),3)</f>
        <v>-0.20399999999999999</v>
      </c>
      <c r="AM49" s="1712"/>
      <c r="AN49" s="1712"/>
    </row>
    <row r="50" spans="1:40">
      <c r="A50" s="301"/>
      <c r="B50" s="360" t="s">
        <v>420</v>
      </c>
      <c r="C50" s="301"/>
      <c r="D50" s="301"/>
      <c r="E50" s="274">
        <v>0.9</v>
      </c>
      <c r="F50" s="274"/>
      <c r="G50" s="274">
        <v>2.7</v>
      </c>
      <c r="H50" s="274"/>
      <c r="I50" s="274">
        <v>1.8999999999999995</v>
      </c>
      <c r="J50" s="274"/>
      <c r="K50" s="274">
        <v>1</v>
      </c>
      <c r="L50" s="564"/>
      <c r="M50" s="274">
        <v>1.8000000000000007</v>
      </c>
      <c r="N50" s="564"/>
      <c r="O50" s="274">
        <v>0.89999999999999858</v>
      </c>
      <c r="P50" s="564"/>
      <c r="Q50" s="274">
        <v>1.3000000000000007</v>
      </c>
      <c r="R50" s="564"/>
      <c r="S50" s="274">
        <v>1</v>
      </c>
      <c r="T50" s="564"/>
      <c r="U50" s="274">
        <v>0.80000000000000071</v>
      </c>
      <c r="V50" s="564"/>
      <c r="W50" s="274">
        <v>1.0999999999999996</v>
      </c>
      <c r="X50" s="564"/>
      <c r="Y50" s="274">
        <f>$AD50-SUM($E50:W50)</f>
        <v>1.5</v>
      </c>
      <c r="Z50" s="564"/>
      <c r="AA50" s="274"/>
      <c r="AB50" s="274"/>
      <c r="AC50" s="534"/>
      <c r="AD50" s="542">
        <v>14.9</v>
      </c>
      <c r="AE50" s="274"/>
      <c r="AF50" s="535" t="s">
        <v>103</v>
      </c>
      <c r="AG50" s="542">
        <v>11.9</v>
      </c>
      <c r="AH50" s="297"/>
      <c r="AI50" s="102"/>
      <c r="AJ50" s="274">
        <f t="shared" si="0"/>
        <v>3</v>
      </c>
      <c r="AK50" s="41"/>
      <c r="AL50" s="276">
        <f>ROUND(IF(AG50=0,0,AJ50/ABS(AG50)),3)</f>
        <v>0.252</v>
      </c>
      <c r="AM50" s="1712"/>
      <c r="AN50" s="1712"/>
    </row>
    <row r="51" spans="1:40">
      <c r="A51" s="301"/>
      <c r="B51" s="360" t="s">
        <v>421</v>
      </c>
      <c r="C51" s="301"/>
      <c r="D51" s="301"/>
      <c r="E51" s="274" t="s">
        <v>103</v>
      </c>
      <c r="F51" s="274"/>
      <c r="G51" s="274"/>
      <c r="H51" s="274"/>
      <c r="I51" s="274"/>
      <c r="J51" s="274"/>
      <c r="K51" s="274"/>
      <c r="L51" s="564"/>
      <c r="M51" s="274"/>
      <c r="N51" s="564"/>
      <c r="O51" s="274"/>
      <c r="P51" s="564"/>
      <c r="Q51" s="274"/>
      <c r="R51" s="564"/>
      <c r="S51" s="274"/>
      <c r="T51" s="564"/>
      <c r="U51" s="274"/>
      <c r="V51" s="564"/>
      <c r="W51" s="274"/>
      <c r="X51" s="564"/>
      <c r="Y51" s="274"/>
      <c r="Z51" s="564"/>
      <c r="AA51" s="274"/>
      <c r="AB51" s="274"/>
      <c r="AC51" s="534"/>
      <c r="AD51" s="299" t="s">
        <v>103</v>
      </c>
      <c r="AE51" s="1264"/>
      <c r="AF51" s="274"/>
      <c r="AG51" s="299" t="s">
        <v>103</v>
      </c>
      <c r="AH51" s="297"/>
      <c r="AI51" s="102"/>
      <c r="AJ51" s="274"/>
      <c r="AK51" s="41"/>
      <c r="AL51" s="101"/>
      <c r="AM51" s="1712"/>
      <c r="AN51" s="1712"/>
    </row>
    <row r="52" spans="1:40">
      <c r="A52" s="301"/>
      <c r="B52" s="360" t="s">
        <v>506</v>
      </c>
      <c r="C52" s="301"/>
      <c r="D52" s="301"/>
      <c r="E52" s="274">
        <v>0</v>
      </c>
      <c r="F52" s="299"/>
      <c r="G52" s="274">
        <v>0</v>
      </c>
      <c r="H52" s="274"/>
      <c r="I52" s="274">
        <v>4.2</v>
      </c>
      <c r="J52" s="274"/>
      <c r="K52" s="274">
        <v>0</v>
      </c>
      <c r="L52" s="564"/>
      <c r="M52" s="274">
        <v>0</v>
      </c>
      <c r="N52" s="564"/>
      <c r="O52" s="274">
        <v>0</v>
      </c>
      <c r="P52" s="564"/>
      <c r="Q52" s="274">
        <v>0</v>
      </c>
      <c r="R52" s="564"/>
      <c r="S52" s="274">
        <v>0</v>
      </c>
      <c r="T52" s="564"/>
      <c r="U52" s="274">
        <v>0</v>
      </c>
      <c r="V52" s="564"/>
      <c r="W52" s="274">
        <v>0</v>
      </c>
      <c r="X52" s="564"/>
      <c r="Y52" s="274">
        <f>$AD52-SUM($E52:W52)</f>
        <v>0</v>
      </c>
      <c r="Z52" s="564"/>
      <c r="AA52" s="274"/>
      <c r="AB52" s="274"/>
      <c r="AC52" s="534"/>
      <c r="AD52" s="542">
        <v>4.2</v>
      </c>
      <c r="AE52" s="274"/>
      <c r="AF52" s="535" t="s">
        <v>103</v>
      </c>
      <c r="AG52" s="542">
        <v>0</v>
      </c>
      <c r="AH52" s="297"/>
      <c r="AI52" s="102"/>
      <c r="AJ52" s="274">
        <f t="shared" si="0"/>
        <v>4.2</v>
      </c>
      <c r="AK52" s="41"/>
      <c r="AL52" s="276">
        <f>ROUND(IF(AG52=0,1,AJ52/ABS(AG52)),3)</f>
        <v>1</v>
      </c>
      <c r="AM52" s="1712"/>
      <c r="AN52" s="1712"/>
    </row>
    <row r="53" spans="1:40">
      <c r="A53" s="301"/>
      <c r="B53" s="360" t="s">
        <v>508</v>
      </c>
      <c r="C53" s="301"/>
      <c r="D53" s="301"/>
      <c r="E53" s="274">
        <v>0</v>
      </c>
      <c r="F53" s="299"/>
      <c r="G53" s="274">
        <v>3.8</v>
      </c>
      <c r="H53" s="274"/>
      <c r="I53" s="274">
        <v>-9.9999999999999645E-2</v>
      </c>
      <c r="J53" s="274"/>
      <c r="K53" s="274">
        <v>1.8999999999999995</v>
      </c>
      <c r="L53" s="564"/>
      <c r="M53" s="274">
        <v>0</v>
      </c>
      <c r="N53" s="564"/>
      <c r="O53" s="274">
        <v>0.20000000000000018</v>
      </c>
      <c r="P53" s="564"/>
      <c r="Q53" s="274">
        <v>0.10000000000000053</v>
      </c>
      <c r="R53" s="564"/>
      <c r="S53" s="274">
        <v>0.5</v>
      </c>
      <c r="T53" s="564"/>
      <c r="U53" s="274">
        <v>1.5</v>
      </c>
      <c r="V53" s="564"/>
      <c r="W53" s="274">
        <v>0.19999999999999929</v>
      </c>
      <c r="X53" s="564"/>
      <c r="Y53" s="274">
        <f>$AD53-SUM($E53:W53)</f>
        <v>1</v>
      </c>
      <c r="Z53" s="564"/>
      <c r="AA53" s="274"/>
      <c r="AB53" s="274"/>
      <c r="AC53" s="534"/>
      <c r="AD53" s="542">
        <v>9.1</v>
      </c>
      <c r="AE53" s="274"/>
      <c r="AF53" s="535" t="s">
        <v>103</v>
      </c>
      <c r="AG53" s="542">
        <v>9.8000000000000007</v>
      </c>
      <c r="AH53" s="297"/>
      <c r="AI53" s="102"/>
      <c r="AJ53" s="274">
        <f t="shared" si="0"/>
        <v>-0.7</v>
      </c>
      <c r="AK53" s="41"/>
      <c r="AL53" s="553">
        <f>ROUND(IF(AG53=0,1,AJ53/ABS(AG53)),3)</f>
        <v>-7.0999999999999994E-2</v>
      </c>
      <c r="AM53" s="1712"/>
      <c r="AN53" s="1712"/>
    </row>
    <row r="54" spans="1:40">
      <c r="A54" s="301"/>
      <c r="B54" s="360" t="s">
        <v>509</v>
      </c>
      <c r="C54" s="301"/>
      <c r="D54" s="301"/>
      <c r="E54" s="274">
        <v>6.2</v>
      </c>
      <c r="F54" s="299"/>
      <c r="G54" s="274">
        <v>8.6000000000000014</v>
      </c>
      <c r="H54" s="274"/>
      <c r="I54" s="274">
        <v>9.5</v>
      </c>
      <c r="J54" s="274"/>
      <c r="K54" s="274">
        <v>7.8000000000000007</v>
      </c>
      <c r="L54" s="564"/>
      <c r="M54" s="274">
        <v>5.2999999999999972</v>
      </c>
      <c r="N54" s="564"/>
      <c r="O54" s="274">
        <v>7.0999999999999979</v>
      </c>
      <c r="P54" s="564"/>
      <c r="Q54" s="274">
        <v>8.7999999999999972</v>
      </c>
      <c r="R54" s="564"/>
      <c r="S54" s="274">
        <v>5.6000000000000014</v>
      </c>
      <c r="T54" s="564"/>
      <c r="U54" s="274">
        <v>6.6999999999999957</v>
      </c>
      <c r="V54" s="564"/>
      <c r="W54" s="274">
        <v>5.7000000000000028</v>
      </c>
      <c r="X54" s="564"/>
      <c r="Y54" s="274">
        <f>$AD54-SUM($E54:W54)</f>
        <v>11.200000000000003</v>
      </c>
      <c r="Z54" s="564"/>
      <c r="AA54" s="274"/>
      <c r="AB54" s="274"/>
      <c r="AC54" s="534"/>
      <c r="AD54" s="542">
        <v>82.5</v>
      </c>
      <c r="AE54" s="274"/>
      <c r="AF54" s="535" t="s">
        <v>103</v>
      </c>
      <c r="AG54" s="542">
        <v>93.4</v>
      </c>
      <c r="AH54" s="297"/>
      <c r="AI54" s="102"/>
      <c r="AJ54" s="274">
        <f t="shared" si="0"/>
        <v>-10.9</v>
      </c>
      <c r="AK54" s="41"/>
      <c r="AL54" s="276">
        <f>ROUND(IF(AG54=0,1,AJ54/ABS(AG54)),3)</f>
        <v>-0.11700000000000001</v>
      </c>
      <c r="AM54" s="1712"/>
      <c r="AN54" s="1712"/>
    </row>
    <row r="55" spans="1:40">
      <c r="A55" s="301"/>
      <c r="B55" s="360" t="s">
        <v>511</v>
      </c>
      <c r="C55" s="301"/>
      <c r="D55" s="301"/>
      <c r="E55" s="274">
        <v>0</v>
      </c>
      <c r="F55" s="299"/>
      <c r="G55" s="274">
        <v>0</v>
      </c>
      <c r="H55" s="274"/>
      <c r="I55" s="274">
        <v>0</v>
      </c>
      <c r="J55" s="274"/>
      <c r="K55" s="274">
        <v>0.1</v>
      </c>
      <c r="L55" s="564"/>
      <c r="M55" s="274">
        <v>0</v>
      </c>
      <c r="N55" s="564"/>
      <c r="O55" s="274">
        <v>0</v>
      </c>
      <c r="P55" s="564"/>
      <c r="Q55" s="274">
        <v>0</v>
      </c>
      <c r="R55" s="564"/>
      <c r="S55" s="274">
        <v>0</v>
      </c>
      <c r="T55" s="564"/>
      <c r="U55" s="274">
        <v>0</v>
      </c>
      <c r="V55" s="564"/>
      <c r="W55" s="274">
        <v>0</v>
      </c>
      <c r="X55" s="564"/>
      <c r="Y55" s="274">
        <f>$AD55-SUM($E55:W55)</f>
        <v>0</v>
      </c>
      <c r="Z55" s="564"/>
      <c r="AA55" s="274"/>
      <c r="AB55" s="274"/>
      <c r="AC55" s="534"/>
      <c r="AD55" s="542">
        <v>0.1</v>
      </c>
      <c r="AE55" s="274"/>
      <c r="AF55" s="535" t="s">
        <v>103</v>
      </c>
      <c r="AG55" s="542">
        <v>0</v>
      </c>
      <c r="AH55" s="297"/>
      <c r="AI55" s="102"/>
      <c r="AJ55" s="274">
        <f>ROUND(AD55-AG55,1)</f>
        <v>0.1</v>
      </c>
      <c r="AK55" s="41"/>
      <c r="AL55" s="276">
        <f>ROUND(IF(AG55=0,1,AJ55/ABS(AG55)),3)</f>
        <v>1</v>
      </c>
      <c r="AM55" s="1712"/>
      <c r="AN55" s="1712"/>
    </row>
    <row r="56" spans="1:40">
      <c r="A56" s="301"/>
      <c r="B56" s="360" t="s">
        <v>512</v>
      </c>
      <c r="C56" s="301"/>
      <c r="D56" s="301"/>
      <c r="E56" s="274">
        <v>0.4</v>
      </c>
      <c r="F56" s="299"/>
      <c r="G56" s="274">
        <v>9.9999999999999978E-2</v>
      </c>
      <c r="H56" s="274"/>
      <c r="I56" s="274">
        <v>0.4</v>
      </c>
      <c r="J56" s="274"/>
      <c r="K56" s="274">
        <v>2.2000000000000002</v>
      </c>
      <c r="L56" s="564"/>
      <c r="M56" s="274">
        <v>0.5</v>
      </c>
      <c r="N56" s="564"/>
      <c r="O56" s="274">
        <v>1.9999999999999991</v>
      </c>
      <c r="P56" s="564"/>
      <c r="Q56" s="274">
        <v>0.20000000000000018</v>
      </c>
      <c r="R56" s="564"/>
      <c r="S56" s="274">
        <v>2.2000000000000002</v>
      </c>
      <c r="T56" s="564"/>
      <c r="U56" s="274">
        <v>1.1999999999999993</v>
      </c>
      <c r="V56" s="564"/>
      <c r="W56" s="274">
        <v>0.40000000000000036</v>
      </c>
      <c r="X56" s="564"/>
      <c r="Y56" s="274">
        <f>$AD56-SUM($E56:W56)</f>
        <v>0</v>
      </c>
      <c r="Z56" s="564"/>
      <c r="AA56" s="274"/>
      <c r="AB56" s="274"/>
      <c r="AC56" s="534"/>
      <c r="AD56" s="542">
        <v>9.6</v>
      </c>
      <c r="AE56" s="274"/>
      <c r="AF56" s="535" t="s">
        <v>103</v>
      </c>
      <c r="AG56" s="542">
        <v>14.5</v>
      </c>
      <c r="AH56" s="297"/>
      <c r="AI56" s="102"/>
      <c r="AJ56" s="274">
        <f t="shared" si="0"/>
        <v>-4.9000000000000004</v>
      </c>
      <c r="AK56" s="41"/>
      <c r="AL56" s="1100">
        <f>ROUND(IF(AG56=0,1,AJ56/ABS(AG56)),3)</f>
        <v>-0.33800000000000002</v>
      </c>
      <c r="AM56" s="1712"/>
      <c r="AN56" s="1712"/>
    </row>
    <row r="57" spans="1:40">
      <c r="A57" s="301"/>
      <c r="B57" s="360" t="s">
        <v>513</v>
      </c>
      <c r="C57" s="301"/>
      <c r="D57" s="301"/>
      <c r="E57" s="274">
        <v>1</v>
      </c>
      <c r="F57" s="299"/>
      <c r="G57" s="274">
        <v>1.7999999999999998</v>
      </c>
      <c r="H57" s="274"/>
      <c r="I57" s="274">
        <v>2.1000000000000005</v>
      </c>
      <c r="J57" s="274"/>
      <c r="K57" s="274">
        <v>1.2999999999999998</v>
      </c>
      <c r="L57" s="564"/>
      <c r="M57" s="274">
        <v>0.59999999999999964</v>
      </c>
      <c r="N57" s="564"/>
      <c r="O57" s="274">
        <v>1.8999999999999995</v>
      </c>
      <c r="P57" s="564"/>
      <c r="Q57" s="274">
        <v>3.8000000000000007</v>
      </c>
      <c r="R57" s="564"/>
      <c r="S57" s="274">
        <v>3.4000000000000004</v>
      </c>
      <c r="T57" s="564"/>
      <c r="U57" s="274">
        <v>4.7000000000000011</v>
      </c>
      <c r="V57" s="564"/>
      <c r="W57" s="274">
        <v>6.3999999999999986</v>
      </c>
      <c r="X57" s="564"/>
      <c r="Y57" s="274">
        <f>$AD57-SUM($E57:W57)</f>
        <v>2.8000000000000007</v>
      </c>
      <c r="Z57" s="564"/>
      <c r="AA57" s="274"/>
      <c r="AB57" s="274"/>
      <c r="AC57" s="534"/>
      <c r="AD57" s="542">
        <v>29.8</v>
      </c>
      <c r="AE57" s="274"/>
      <c r="AF57" s="535" t="s">
        <v>103</v>
      </c>
      <c r="AG57" s="542">
        <v>68.699999999999989</v>
      </c>
      <c r="AH57" s="297"/>
      <c r="AI57" s="102"/>
      <c r="AJ57" s="274">
        <f t="shared" si="0"/>
        <v>-38.9</v>
      </c>
      <c r="AK57" s="41"/>
      <c r="AL57" s="553">
        <f>ROUND(IF(AG57=0,0,AJ57/ABS(AG57)),3)</f>
        <v>-0.56599999999999995</v>
      </c>
      <c r="AM57" s="1712"/>
      <c r="AN57" s="1712"/>
    </row>
    <row r="58" spans="1:40">
      <c r="A58" s="301"/>
      <c r="B58" s="360" t="s">
        <v>432</v>
      </c>
      <c r="C58" s="301"/>
      <c r="D58" s="301"/>
      <c r="E58" s="274">
        <v>0.3</v>
      </c>
      <c r="F58" s="299"/>
      <c r="G58" s="274">
        <v>0</v>
      </c>
      <c r="H58" s="274"/>
      <c r="I58" s="274">
        <v>0.10000000000000003</v>
      </c>
      <c r="J58" s="274"/>
      <c r="K58" s="274">
        <v>9.9999999999999978E-2</v>
      </c>
      <c r="L58" s="564"/>
      <c r="M58" s="274">
        <v>0.19999999999999996</v>
      </c>
      <c r="N58" s="564"/>
      <c r="O58" s="274">
        <v>0</v>
      </c>
      <c r="P58" s="564"/>
      <c r="Q58" s="274">
        <v>0.8</v>
      </c>
      <c r="R58" s="564"/>
      <c r="S58" s="274">
        <v>0</v>
      </c>
      <c r="T58" s="564"/>
      <c r="U58" s="274">
        <v>0.10000000000000009</v>
      </c>
      <c r="V58" s="564"/>
      <c r="W58" s="274">
        <v>0</v>
      </c>
      <c r="X58" s="564"/>
      <c r="Y58" s="274">
        <f>$AD58-SUM($E58:W58)</f>
        <v>9.9999999999999867E-2</v>
      </c>
      <c r="Z58" s="564"/>
      <c r="AA58" s="274"/>
      <c r="AB58" s="274"/>
      <c r="AC58" s="534"/>
      <c r="AD58" s="542">
        <v>1.7</v>
      </c>
      <c r="AE58" s="274"/>
      <c r="AF58" s="535" t="s">
        <v>103</v>
      </c>
      <c r="AG58" s="542">
        <v>0.8</v>
      </c>
      <c r="AH58" s="297"/>
      <c r="AI58" s="102"/>
      <c r="AJ58" s="274">
        <f t="shared" si="0"/>
        <v>0.9</v>
      </c>
      <c r="AK58" s="41"/>
      <c r="AL58" s="553">
        <f>ROUND(IF(AG58=0,1,AJ58/ABS(AG58)),3)</f>
        <v>1.125</v>
      </c>
      <c r="AM58" s="1712"/>
      <c r="AN58" s="1712"/>
    </row>
    <row r="59" spans="1:40" s="3" customFormat="1" collapsed="1">
      <c r="B59" s="88" t="s">
        <v>534</v>
      </c>
      <c r="E59" s="72">
        <f>ROUND(SUM(E33:E58),1)</f>
        <v>180</v>
      </c>
      <c r="F59" s="13"/>
      <c r="G59" s="72">
        <f>ROUND(SUM(G33:G58),1)</f>
        <v>1412.4</v>
      </c>
      <c r="H59" s="404"/>
      <c r="I59" s="72">
        <f>ROUND(SUM(I33:I58),1)</f>
        <v>98.2</v>
      </c>
      <c r="J59" s="13"/>
      <c r="K59" s="72">
        <f>ROUND(SUM(K33:K58),1)</f>
        <v>497.4</v>
      </c>
      <c r="L59" s="274"/>
      <c r="M59" s="72">
        <f>ROUND(SUM(M33:M58),1)</f>
        <v>101.2</v>
      </c>
      <c r="N59" s="274"/>
      <c r="O59" s="72">
        <f>ROUND(SUM(O33:O58),1)</f>
        <v>485.7</v>
      </c>
      <c r="P59" s="274"/>
      <c r="Q59" s="72">
        <f>ROUND(SUM(Q33:Q58),1)</f>
        <v>352.8</v>
      </c>
      <c r="R59" s="274"/>
      <c r="S59" s="72">
        <f>ROUND(SUM(S33:S58),1)</f>
        <v>95.1</v>
      </c>
      <c r="T59" s="13"/>
      <c r="U59" s="72">
        <f>ROUND(SUM(U33:U58),1)</f>
        <v>255.4</v>
      </c>
      <c r="V59" s="274"/>
      <c r="W59" s="72">
        <f>ROUND(SUM(W33:W58),1)</f>
        <v>100.8</v>
      </c>
      <c r="X59" s="274"/>
      <c r="Y59" s="72">
        <f>ROUND(SUM(Y33:Y58),1)</f>
        <v>106.7</v>
      </c>
      <c r="Z59" s="274"/>
      <c r="AA59" s="72">
        <f>ROUND(SUM(AA33:AA58),1)</f>
        <v>0</v>
      </c>
      <c r="AB59" s="13"/>
      <c r="AC59" s="14"/>
      <c r="AD59" s="72">
        <f>ROUND(SUM(AD33:AD58),1)</f>
        <v>3685.7</v>
      </c>
      <c r="AE59" s="1266"/>
      <c r="AF59" s="13"/>
      <c r="AG59" s="72">
        <f>ROUND(SUM(AG33:AG58),1)</f>
        <v>3983.6</v>
      </c>
      <c r="AH59" s="18"/>
      <c r="AI59" s="102"/>
      <c r="AJ59" s="72">
        <f>ROUND(SUM(AJ33:AJ58),1)</f>
        <v>-297.89999999999998</v>
      </c>
      <c r="AK59" s="40"/>
      <c r="AL59" s="548">
        <f>ROUND(IF(AG59=0,0,AJ59/ABS(AG59)),3)</f>
        <v>-7.4999999999999997E-2</v>
      </c>
      <c r="AM59" s="1712"/>
      <c r="AN59" s="1712"/>
    </row>
    <row r="60" spans="1:40" s="3" customFormat="1">
      <c r="B60" s="88"/>
      <c r="E60" s="13"/>
      <c r="F60" s="13"/>
      <c r="G60" s="13"/>
      <c r="H60" s="404"/>
      <c r="I60" s="13"/>
      <c r="J60" s="13"/>
      <c r="K60" s="13"/>
      <c r="L60" s="564"/>
      <c r="M60" s="523"/>
      <c r="N60" s="564"/>
      <c r="O60" s="523"/>
      <c r="P60" s="564"/>
      <c r="Q60" s="523"/>
      <c r="R60" s="564"/>
      <c r="S60" s="523"/>
      <c r="T60" s="564"/>
      <c r="U60" s="523"/>
      <c r="V60" s="564"/>
      <c r="W60" s="523"/>
      <c r="X60" s="564"/>
      <c r="Y60" s="523"/>
      <c r="Z60" s="564"/>
      <c r="AA60" s="523"/>
      <c r="AB60" s="13"/>
      <c r="AC60" s="14"/>
      <c r="AD60" s="13"/>
      <c r="AE60" s="1266"/>
      <c r="AF60" s="13"/>
      <c r="AG60" s="13"/>
      <c r="AH60" s="18"/>
      <c r="AI60" s="102"/>
      <c r="AJ60" s="13"/>
      <c r="AK60" s="40"/>
      <c r="AL60" s="78"/>
      <c r="AM60" s="1712"/>
      <c r="AN60" s="1712"/>
    </row>
    <row r="61" spans="1:40">
      <c r="A61" s="301"/>
      <c r="B61" s="301" t="s">
        <v>515</v>
      </c>
      <c r="C61" s="301"/>
      <c r="D61" s="301"/>
      <c r="E61" s="274">
        <v>0</v>
      </c>
      <c r="F61" s="274"/>
      <c r="G61" s="274">
        <v>0</v>
      </c>
      <c r="H61" s="274"/>
      <c r="I61" s="274">
        <v>0</v>
      </c>
      <c r="J61" s="274"/>
      <c r="K61" s="274">
        <v>0</v>
      </c>
      <c r="L61" s="263"/>
      <c r="M61" s="274">
        <v>-0.2</v>
      </c>
      <c r="N61" s="263"/>
      <c r="O61" s="274">
        <v>0</v>
      </c>
      <c r="P61" s="263"/>
      <c r="Q61" s="274">
        <v>0</v>
      </c>
      <c r="R61" s="263"/>
      <c r="S61" s="274">
        <v>0</v>
      </c>
      <c r="T61" s="905"/>
      <c r="U61" s="274">
        <v>0</v>
      </c>
      <c r="V61" s="905"/>
      <c r="W61" s="274">
        <v>0</v>
      </c>
      <c r="X61" s="905"/>
      <c r="Y61" s="274">
        <f>$AD61-SUM($E61:W61)</f>
        <v>2.3000000000000003</v>
      </c>
      <c r="Z61" s="905"/>
      <c r="AA61" s="274"/>
      <c r="AB61" s="301"/>
      <c r="AC61" s="534"/>
      <c r="AD61" s="542">
        <v>2.1</v>
      </c>
      <c r="AE61" s="274"/>
      <c r="AF61" s="535" t="s">
        <v>103</v>
      </c>
      <c r="AG61" s="542">
        <v>4.7</v>
      </c>
      <c r="AH61" s="297"/>
      <c r="AI61" s="103"/>
      <c r="AJ61" s="393">
        <f>ROUND(AD61-AG61,1)</f>
        <v>-2.6</v>
      </c>
      <c r="AK61" s="41"/>
      <c r="AL61" s="544">
        <f>ROUND(IF(AG61=0,0,AJ61/ABS(AG61)),3)</f>
        <v>-0.55300000000000005</v>
      </c>
      <c r="AM61" s="1712"/>
      <c r="AN61" s="1712"/>
    </row>
    <row r="62" spans="1:40">
      <c r="A62" s="301"/>
      <c r="B62" s="301"/>
      <c r="C62" s="301"/>
      <c r="D62" s="301"/>
      <c r="E62" s="629"/>
      <c r="F62" s="274"/>
      <c r="G62" s="629"/>
      <c r="H62" s="274"/>
      <c r="I62" s="629"/>
      <c r="J62" s="274"/>
      <c r="K62" s="629"/>
      <c r="L62" s="263"/>
      <c r="M62" s="629"/>
      <c r="N62" s="263"/>
      <c r="O62" s="629"/>
      <c r="P62" s="263"/>
      <c r="Q62" s="629"/>
      <c r="R62" s="263"/>
      <c r="S62" s="629"/>
      <c r="T62" s="263"/>
      <c r="U62" s="629"/>
      <c r="V62" s="263"/>
      <c r="W62" s="629"/>
      <c r="X62" s="263"/>
      <c r="Y62" s="629"/>
      <c r="Z62" s="263"/>
      <c r="AA62" s="629"/>
      <c r="AB62" s="301"/>
      <c r="AC62" s="534"/>
      <c r="AD62" s="629"/>
      <c r="AE62" s="1264"/>
      <c r="AF62" s="274"/>
      <c r="AG62" s="629"/>
      <c r="AH62" s="274"/>
      <c r="AI62" s="103"/>
      <c r="AJ62" s="274"/>
      <c r="AL62" s="276"/>
      <c r="AM62" s="1712"/>
      <c r="AN62" s="1712"/>
    </row>
    <row r="63" spans="1:40">
      <c r="A63" s="301"/>
      <c r="B63" s="3" t="s">
        <v>571</v>
      </c>
      <c r="C63" s="301"/>
      <c r="D63" s="301"/>
      <c r="E63" s="367">
        <f>ROUND(SUM(E31+E59+E61),1)</f>
        <v>278.39999999999998</v>
      </c>
      <c r="F63" s="13"/>
      <c r="G63" s="367">
        <f>ROUND(SUM(G31+G59+G61),1)</f>
        <v>1503.5</v>
      </c>
      <c r="H63" s="13"/>
      <c r="I63" s="1165">
        <f>ROUND(SUM(I31+I59+I61),1)</f>
        <v>245.8</v>
      </c>
      <c r="J63" s="13"/>
      <c r="K63" s="1165">
        <f>ROUND(SUM(K31+K59+K61),1)</f>
        <v>622.20000000000005</v>
      </c>
      <c r="L63" s="13"/>
      <c r="M63" s="367">
        <f>ROUND(SUM(M31+M59+M61),1)</f>
        <v>228.6</v>
      </c>
      <c r="N63" s="13"/>
      <c r="O63" s="367">
        <f>ROUND(SUM(O31+O59+O61),1)</f>
        <v>640.9</v>
      </c>
      <c r="P63" s="13"/>
      <c r="Q63" s="367">
        <f>ROUND(SUM(Q31+Q59+Q61),1)</f>
        <v>473.3</v>
      </c>
      <c r="R63" s="13"/>
      <c r="S63" s="367">
        <f>ROUND(SUM(S31+S59+S61),1)</f>
        <v>215.5</v>
      </c>
      <c r="T63" s="13"/>
      <c r="U63" s="367">
        <f>ROUND(SUM(U31+U59+U61),1)</f>
        <v>396.6</v>
      </c>
      <c r="V63" s="13"/>
      <c r="W63" s="367">
        <f>ROUND(SUM(W31+W59+W61),1)</f>
        <v>218.3</v>
      </c>
      <c r="X63" s="13"/>
      <c r="Y63" s="367">
        <f>ROUND(SUM(Y31+Y59+Y61),1)</f>
        <v>225.1</v>
      </c>
      <c r="Z63" s="13"/>
      <c r="AA63" s="367">
        <f>ROUND(SUM(AA31+AA59+AA61),1)</f>
        <v>0</v>
      </c>
      <c r="AB63" s="13"/>
      <c r="AC63" s="14"/>
      <c r="AD63" s="367">
        <f>ROUND(SUM(AD31+AD59+AD61),1)</f>
        <v>5048.2</v>
      </c>
      <c r="AE63" s="1266"/>
      <c r="AF63" s="13"/>
      <c r="AG63" s="367">
        <f>ROUND(SUM(AG31+AG59+AG61),1)</f>
        <v>5380.7</v>
      </c>
      <c r="AH63" s="18"/>
      <c r="AI63" s="103"/>
      <c r="AJ63" s="367">
        <f>ROUND(SUM(AJ31+AJ59+AJ61),1)</f>
        <v>-332.5</v>
      </c>
      <c r="AK63" s="40"/>
      <c r="AL63" s="549">
        <f>ROUND(IF(AG63=0,0,AJ63/ABS(AG63)),3)</f>
        <v>-6.2E-2</v>
      </c>
      <c r="AM63" s="1712"/>
      <c r="AN63" s="1712"/>
    </row>
    <row r="64" spans="1:40">
      <c r="A64" s="301"/>
      <c r="B64" s="301"/>
      <c r="C64" s="301"/>
      <c r="D64" s="301"/>
      <c r="E64" s="274"/>
      <c r="F64" s="274"/>
      <c r="G64" s="629"/>
      <c r="H64" s="274"/>
      <c r="I64" s="629"/>
      <c r="J64" s="274"/>
      <c r="K64" s="629"/>
      <c r="L64" s="564"/>
      <c r="M64" s="523"/>
      <c r="N64" s="564"/>
      <c r="O64" s="523"/>
      <c r="P64" s="564"/>
      <c r="Q64" s="523"/>
      <c r="R64" s="564"/>
      <c r="S64" s="523"/>
      <c r="T64" s="564"/>
      <c r="U64" s="523"/>
      <c r="V64" s="564"/>
      <c r="W64" s="523"/>
      <c r="X64" s="564"/>
      <c r="Y64" s="523"/>
      <c r="Z64" s="564"/>
      <c r="AA64" s="523"/>
      <c r="AB64" s="1264"/>
      <c r="AC64" s="274"/>
      <c r="AD64" s="629"/>
      <c r="AE64" s="1264"/>
      <c r="AF64" s="274"/>
      <c r="AG64" s="629"/>
      <c r="AH64" s="274"/>
      <c r="AI64" s="103"/>
      <c r="AJ64" s="12"/>
      <c r="AL64" s="101"/>
      <c r="AM64" s="1712"/>
      <c r="AN64" s="1712"/>
    </row>
    <row r="65" spans="1:40">
      <c r="A65" s="301"/>
      <c r="B65" s="3" t="s">
        <v>122</v>
      </c>
      <c r="C65" s="301"/>
      <c r="D65" s="301"/>
      <c r="E65" s="274"/>
      <c r="F65" s="274"/>
      <c r="G65" s="274"/>
      <c r="H65" s="274"/>
      <c r="I65" s="274"/>
      <c r="J65" s="274"/>
      <c r="K65" s="274"/>
      <c r="L65" s="564"/>
      <c r="M65" s="523"/>
      <c r="N65" s="564"/>
      <c r="O65" s="523"/>
      <c r="P65" s="564"/>
      <c r="Q65" s="523"/>
      <c r="R65" s="564"/>
      <c r="S65" s="523"/>
      <c r="T65" s="564"/>
      <c r="U65" s="523"/>
      <c r="V65" s="564"/>
      <c r="W65" s="523"/>
      <c r="X65" s="564"/>
      <c r="Y65" s="523"/>
      <c r="Z65" s="564"/>
      <c r="AA65" s="523"/>
      <c r="AB65" s="1264"/>
      <c r="AC65" s="274"/>
      <c r="AD65" s="274"/>
      <c r="AE65" s="1264"/>
      <c r="AF65" s="274"/>
      <c r="AG65" s="274"/>
      <c r="AH65" s="274"/>
      <c r="AI65" s="103"/>
      <c r="AJ65" s="12"/>
      <c r="AL65" s="101"/>
      <c r="AM65" s="1712"/>
      <c r="AN65" s="1712"/>
    </row>
    <row r="66" spans="1:40">
      <c r="A66" s="301"/>
      <c r="B66" s="301" t="s">
        <v>459</v>
      </c>
      <c r="C66" s="301"/>
      <c r="D66" s="301"/>
      <c r="E66" s="274"/>
      <c r="F66" s="274"/>
      <c r="G66" s="274"/>
      <c r="H66" s="274"/>
      <c r="I66" s="274"/>
      <c r="J66" s="274"/>
      <c r="K66" s="274"/>
      <c r="L66" s="564"/>
      <c r="M66" s="523"/>
      <c r="N66" s="564"/>
      <c r="O66" s="523"/>
      <c r="P66" s="564"/>
      <c r="Q66" s="523"/>
      <c r="R66" s="564"/>
      <c r="S66" s="523"/>
      <c r="T66" s="564"/>
      <c r="U66" s="523"/>
      <c r="V66" s="564"/>
      <c r="W66" s="523"/>
      <c r="X66" s="564"/>
      <c r="Y66" s="523"/>
      <c r="Z66" s="564"/>
      <c r="AA66" s="523"/>
      <c r="AB66" s="274"/>
      <c r="AC66" s="534"/>
      <c r="AD66" s="274"/>
      <c r="AE66" s="1264"/>
      <c r="AF66" s="274"/>
      <c r="AG66" s="274"/>
      <c r="AH66" s="274"/>
      <c r="AI66" s="103"/>
      <c r="AJ66" s="12"/>
      <c r="AL66" s="101"/>
      <c r="AM66" s="1712"/>
      <c r="AN66" s="1712"/>
    </row>
    <row r="67" spans="1:40">
      <c r="A67" s="301"/>
      <c r="B67" s="301" t="s">
        <v>124</v>
      </c>
      <c r="C67" s="301"/>
      <c r="D67" s="301"/>
      <c r="E67" s="274">
        <v>4.4000000000000004</v>
      </c>
      <c r="F67" s="274"/>
      <c r="G67" s="274">
        <v>9.6999999999999993</v>
      </c>
      <c r="H67" s="274"/>
      <c r="I67" s="274">
        <v>23.900000000000002</v>
      </c>
      <c r="J67" s="274"/>
      <c r="K67" s="274">
        <v>111.30000000000001</v>
      </c>
      <c r="L67" s="564"/>
      <c r="M67" s="274">
        <v>21.299999999999983</v>
      </c>
      <c r="N67" s="564"/>
      <c r="O67" s="274">
        <v>4.2000000000000171</v>
      </c>
      <c r="P67" s="564"/>
      <c r="Q67" s="274">
        <v>8.3999999999999773</v>
      </c>
      <c r="R67" s="564"/>
      <c r="S67" s="274">
        <v>100.19999999999999</v>
      </c>
      <c r="T67" s="564"/>
      <c r="U67" s="274">
        <v>22.600000000000023</v>
      </c>
      <c r="V67" s="564"/>
      <c r="W67" s="274">
        <v>7.3999999999999773</v>
      </c>
      <c r="X67" s="564"/>
      <c r="Y67" s="274">
        <f>$AD67-SUM($E67:W67)</f>
        <v>25.800000000000011</v>
      </c>
      <c r="Z67" s="564"/>
      <c r="AA67" s="274"/>
      <c r="AB67" s="274"/>
      <c r="AC67" s="534"/>
      <c r="AD67" s="542">
        <v>339.2</v>
      </c>
      <c r="AE67" s="274"/>
      <c r="AF67" s="535" t="s">
        <v>103</v>
      </c>
      <c r="AG67" s="542">
        <v>380.5</v>
      </c>
      <c r="AH67" s="297"/>
      <c r="AI67" s="102"/>
      <c r="AJ67" s="274">
        <f t="shared" ref="AJ67:AJ76" si="1">ROUND(AD67-AG67,1)</f>
        <v>-41.3</v>
      </c>
      <c r="AK67" s="41"/>
      <c r="AL67" s="1100">
        <f>ROUND(IF(AG67=0,1,AJ67/ABS(AG67)),3)</f>
        <v>-0.109</v>
      </c>
      <c r="AM67" s="1712"/>
      <c r="AN67" s="1712"/>
    </row>
    <row r="68" spans="1:40">
      <c r="A68" s="301"/>
      <c r="B68" s="301" t="s">
        <v>125</v>
      </c>
      <c r="C68" s="301"/>
      <c r="D68" s="301"/>
      <c r="E68" s="274">
        <v>7.5</v>
      </c>
      <c r="F68" s="274"/>
      <c r="G68" s="274">
        <v>6.6999999999999993</v>
      </c>
      <c r="H68" s="274"/>
      <c r="I68" s="274">
        <v>32.900000000000006</v>
      </c>
      <c r="J68" s="274"/>
      <c r="K68" s="274">
        <v>10.899999999999991</v>
      </c>
      <c r="L68" s="564"/>
      <c r="M68" s="274">
        <v>68.2</v>
      </c>
      <c r="N68" s="564"/>
      <c r="O68" s="274">
        <v>8.1000000000000085</v>
      </c>
      <c r="P68" s="564"/>
      <c r="Q68" s="274">
        <v>46</v>
      </c>
      <c r="R68" s="564"/>
      <c r="S68" s="274">
        <v>65</v>
      </c>
      <c r="T68" s="564"/>
      <c r="U68" s="274">
        <v>34.5</v>
      </c>
      <c r="V68" s="564"/>
      <c r="W68" s="274">
        <v>37.199999999999989</v>
      </c>
      <c r="X68" s="564"/>
      <c r="Y68" s="274">
        <f>$AD68-SUM($E68:W68)</f>
        <v>41.600000000000023</v>
      </c>
      <c r="Z68" s="564"/>
      <c r="AA68" s="274"/>
      <c r="AB68" s="274"/>
      <c r="AC68" s="534"/>
      <c r="AD68" s="542">
        <v>358.6</v>
      </c>
      <c r="AE68" s="274"/>
      <c r="AF68" s="535" t="s">
        <v>103</v>
      </c>
      <c r="AG68" s="542">
        <v>278</v>
      </c>
      <c r="AH68" s="297"/>
      <c r="AI68" s="102"/>
      <c r="AJ68" s="274">
        <f t="shared" si="1"/>
        <v>80.599999999999994</v>
      </c>
      <c r="AK68" s="41"/>
      <c r="AL68" s="276">
        <f>ROUND(IF(AG68=0,0,AJ68/ABS(AG68)),3)</f>
        <v>0.28999999999999998</v>
      </c>
      <c r="AM68" s="1712"/>
      <c r="AN68" s="1712"/>
    </row>
    <row r="69" spans="1:40">
      <c r="A69" s="301"/>
      <c r="B69" s="301" t="s">
        <v>126</v>
      </c>
      <c r="C69" s="301"/>
      <c r="D69" s="301"/>
      <c r="E69" s="274">
        <v>27.9</v>
      </c>
      <c r="F69" s="274"/>
      <c r="G69" s="274">
        <v>18.399999999999999</v>
      </c>
      <c r="H69" s="274"/>
      <c r="I69" s="274">
        <v>48.79999999999999</v>
      </c>
      <c r="J69" s="274"/>
      <c r="K69" s="274">
        <v>30.999999999999993</v>
      </c>
      <c r="L69" s="564"/>
      <c r="M69" s="274">
        <v>74.800000000000011</v>
      </c>
      <c r="N69" s="564"/>
      <c r="O69" s="274">
        <v>86.600000000000023</v>
      </c>
      <c r="P69" s="564"/>
      <c r="Q69" s="274">
        <v>39.600000000000023</v>
      </c>
      <c r="R69" s="564"/>
      <c r="S69" s="274">
        <v>14.399999999999977</v>
      </c>
      <c r="T69" s="564"/>
      <c r="U69" s="274">
        <v>132.89999999999998</v>
      </c>
      <c r="V69" s="564"/>
      <c r="W69" s="274">
        <v>33.300000000000011</v>
      </c>
      <c r="X69" s="564"/>
      <c r="Y69" s="274">
        <f>$AD69-SUM($E69:W69)</f>
        <v>40.500000000000057</v>
      </c>
      <c r="Z69" s="564"/>
      <c r="AA69" s="274"/>
      <c r="AB69" s="274"/>
      <c r="AC69" s="534"/>
      <c r="AD69" s="542">
        <v>548.20000000000005</v>
      </c>
      <c r="AE69" s="274"/>
      <c r="AF69" s="535" t="s">
        <v>103</v>
      </c>
      <c r="AG69" s="542">
        <v>538.4</v>
      </c>
      <c r="AH69" s="297"/>
      <c r="AI69" s="102"/>
      <c r="AJ69" s="274">
        <f t="shared" si="1"/>
        <v>9.8000000000000007</v>
      </c>
      <c r="AK69" s="41"/>
      <c r="AL69" s="276">
        <f>ROUND(IF(AG69=0,0,AJ69/ABS(AG69)),3)</f>
        <v>1.7999999999999999E-2</v>
      </c>
      <c r="AM69" s="1712"/>
      <c r="AN69" s="1712"/>
    </row>
    <row r="70" spans="1:40">
      <c r="A70" s="301"/>
      <c r="B70" s="301" t="s">
        <v>127</v>
      </c>
      <c r="C70" s="301"/>
      <c r="D70" s="301"/>
      <c r="E70" s="274" t="s">
        <v>103</v>
      </c>
      <c r="F70" s="274"/>
      <c r="G70" s="274"/>
      <c r="H70" s="274"/>
      <c r="I70" s="274"/>
      <c r="J70" s="274"/>
      <c r="K70" s="274"/>
      <c r="L70" s="564"/>
      <c r="M70" s="274"/>
      <c r="N70" s="564"/>
      <c r="O70" s="274"/>
      <c r="P70" s="564"/>
      <c r="Q70" s="274"/>
      <c r="R70" s="564"/>
      <c r="S70" s="274"/>
      <c r="T70" s="564"/>
      <c r="U70" s="274"/>
      <c r="V70" s="564"/>
      <c r="W70" s="274"/>
      <c r="X70" s="564"/>
      <c r="Y70" s="274"/>
      <c r="Z70" s="564"/>
      <c r="AA70" s="274"/>
      <c r="AB70" s="274"/>
      <c r="AC70" s="534"/>
      <c r="AD70" s="523"/>
      <c r="AE70" s="274"/>
      <c r="AF70" s="535" t="s">
        <v>103</v>
      </c>
      <c r="AG70" s="523"/>
      <c r="AH70" s="274"/>
      <c r="AI70" s="103"/>
      <c r="AJ70" s="274"/>
      <c r="AK70" s="41"/>
      <c r="AL70" s="101"/>
      <c r="AM70" s="1712"/>
      <c r="AN70" s="1712"/>
    </row>
    <row r="71" spans="1:40">
      <c r="A71" s="301"/>
      <c r="B71" s="301" t="s">
        <v>128</v>
      </c>
      <c r="C71" s="3"/>
      <c r="D71" s="301"/>
      <c r="E71" s="274">
        <v>0</v>
      </c>
      <c r="F71" s="274"/>
      <c r="G71" s="274">
        <v>0</v>
      </c>
      <c r="H71" s="274"/>
      <c r="I71" s="274">
        <v>0</v>
      </c>
      <c r="J71" s="274"/>
      <c r="K71" s="274">
        <v>0</v>
      </c>
      <c r="L71" s="564"/>
      <c r="M71" s="274">
        <v>0</v>
      </c>
      <c r="N71" s="564"/>
      <c r="O71" s="274">
        <v>0</v>
      </c>
      <c r="P71" s="564"/>
      <c r="Q71" s="274">
        <v>0</v>
      </c>
      <c r="R71" s="564"/>
      <c r="S71" s="274">
        <v>0</v>
      </c>
      <c r="T71" s="564"/>
      <c r="U71" s="274">
        <v>0</v>
      </c>
      <c r="V71" s="564"/>
      <c r="W71" s="274">
        <v>0</v>
      </c>
      <c r="X71" s="564"/>
      <c r="Y71" s="274">
        <f>$AD71-SUM($E71:W71)</f>
        <v>0</v>
      </c>
      <c r="Z71" s="564"/>
      <c r="AA71" s="274"/>
      <c r="AB71" s="274"/>
      <c r="AC71" s="534"/>
      <c r="AD71" s="542">
        <v>0</v>
      </c>
      <c r="AE71" s="274"/>
      <c r="AF71" s="535" t="s">
        <v>103</v>
      </c>
      <c r="AG71" s="542">
        <v>0</v>
      </c>
      <c r="AH71" s="274"/>
      <c r="AI71" s="103"/>
      <c r="AJ71" s="274">
        <f t="shared" si="1"/>
        <v>0</v>
      </c>
      <c r="AL71" s="553">
        <f>ROUND(IF(AG71=0,0,AJ71/ABS(AG71)),3)</f>
        <v>0</v>
      </c>
      <c r="AM71" s="1712"/>
      <c r="AN71" s="1712"/>
    </row>
    <row r="72" spans="1:40">
      <c r="A72" s="301"/>
      <c r="B72" s="301" t="s">
        <v>129</v>
      </c>
      <c r="C72" s="301"/>
      <c r="D72" s="301"/>
      <c r="E72" s="274">
        <v>41.7</v>
      </c>
      <c r="F72" s="274"/>
      <c r="G72" s="274">
        <v>34.700000000000003</v>
      </c>
      <c r="H72" s="274"/>
      <c r="I72" s="274">
        <v>23.099999999999994</v>
      </c>
      <c r="J72" s="274"/>
      <c r="K72" s="274">
        <v>34.699999999999989</v>
      </c>
      <c r="L72" s="564"/>
      <c r="M72" s="274">
        <v>34</v>
      </c>
      <c r="N72" s="564"/>
      <c r="O72" s="274">
        <v>22.399999999999991</v>
      </c>
      <c r="P72" s="564"/>
      <c r="Q72" s="274">
        <v>46.700000000000045</v>
      </c>
      <c r="R72" s="564"/>
      <c r="S72" s="274">
        <v>53.199999999999989</v>
      </c>
      <c r="T72" s="564"/>
      <c r="U72" s="274">
        <v>37.399999999999977</v>
      </c>
      <c r="V72" s="564"/>
      <c r="W72" s="274">
        <v>31.800000000000011</v>
      </c>
      <c r="X72" s="564"/>
      <c r="Y72" s="274">
        <f>$AD72-SUM($E72:W72)</f>
        <v>32.600000000000023</v>
      </c>
      <c r="Z72" s="564"/>
      <c r="AA72" s="274"/>
      <c r="AB72" s="274"/>
      <c r="AC72" s="534"/>
      <c r="AD72" s="542">
        <v>392.3</v>
      </c>
      <c r="AE72" s="274"/>
      <c r="AF72" s="535" t="s">
        <v>103</v>
      </c>
      <c r="AG72" s="542">
        <v>381.5</v>
      </c>
      <c r="AH72" s="297"/>
      <c r="AI72" s="102"/>
      <c r="AJ72" s="274">
        <f t="shared" si="1"/>
        <v>10.8</v>
      </c>
      <c r="AK72" s="41"/>
      <c r="AL72" s="276">
        <f>ROUND(IF(AG72=0,0,AJ72/ABS(AG72)),3)</f>
        <v>2.8000000000000001E-2</v>
      </c>
      <c r="AM72" s="1712"/>
      <c r="AN72" s="1712"/>
    </row>
    <row r="73" spans="1:40">
      <c r="A73" s="301"/>
      <c r="B73" s="301" t="s">
        <v>130</v>
      </c>
      <c r="C73" s="301"/>
      <c r="D73" s="301"/>
      <c r="E73" s="274">
        <v>1.7</v>
      </c>
      <c r="F73" s="274"/>
      <c r="G73" s="274">
        <v>1.7</v>
      </c>
      <c r="H73" s="274"/>
      <c r="I73" s="274">
        <v>2.1999999999999993</v>
      </c>
      <c r="J73" s="274"/>
      <c r="K73" s="274">
        <v>2.1000000000000005</v>
      </c>
      <c r="L73" s="564"/>
      <c r="M73" s="274">
        <v>0.89999999999999947</v>
      </c>
      <c r="N73" s="564"/>
      <c r="O73" s="274">
        <v>0.80000000000000071</v>
      </c>
      <c r="P73" s="564"/>
      <c r="Q73" s="274">
        <v>2.2999999999999989</v>
      </c>
      <c r="R73" s="564"/>
      <c r="S73" s="274">
        <v>1</v>
      </c>
      <c r="T73" s="564"/>
      <c r="U73" s="274">
        <v>0.60000000000000142</v>
      </c>
      <c r="V73" s="564"/>
      <c r="W73" s="274">
        <v>2</v>
      </c>
      <c r="X73" s="564"/>
      <c r="Y73" s="274">
        <f>$AD73-SUM($E73:W73)</f>
        <v>0.5</v>
      </c>
      <c r="Z73" s="564"/>
      <c r="AA73" s="274"/>
      <c r="AB73" s="274"/>
      <c r="AC73" s="534"/>
      <c r="AD73" s="542">
        <v>15.8</v>
      </c>
      <c r="AE73" s="274"/>
      <c r="AF73" s="535" t="s">
        <v>103</v>
      </c>
      <c r="AG73" s="542">
        <v>21.5</v>
      </c>
      <c r="AH73" s="297"/>
      <c r="AI73" s="102"/>
      <c r="AJ73" s="274">
        <f t="shared" si="1"/>
        <v>-5.7</v>
      </c>
      <c r="AK73" s="41"/>
      <c r="AL73" s="553">
        <f>ROUND(IF(AG73=0,1,AJ73/ABS(AG73)),3)</f>
        <v>-0.26500000000000001</v>
      </c>
      <c r="AM73" s="1712"/>
      <c r="AN73" s="1712"/>
    </row>
    <row r="74" spans="1:40">
      <c r="A74" s="301"/>
      <c r="B74" s="301" t="s">
        <v>131</v>
      </c>
      <c r="C74" s="301"/>
      <c r="D74" s="301"/>
      <c r="E74" s="274">
        <v>35.6</v>
      </c>
      <c r="F74" s="274"/>
      <c r="G74" s="274">
        <v>80.300000000000011</v>
      </c>
      <c r="H74" s="274"/>
      <c r="I74" s="274">
        <v>5.6999999999999886</v>
      </c>
      <c r="J74" s="274"/>
      <c r="K74" s="274">
        <v>93.200000000000017</v>
      </c>
      <c r="L74" s="564"/>
      <c r="M74" s="274">
        <v>178.79999999999998</v>
      </c>
      <c r="N74" s="564"/>
      <c r="O74" s="274">
        <v>23.899999999999977</v>
      </c>
      <c r="P74" s="564"/>
      <c r="Q74" s="274">
        <v>497.9</v>
      </c>
      <c r="R74" s="564"/>
      <c r="S74" s="274">
        <v>58.899999999999977</v>
      </c>
      <c r="T74" s="564"/>
      <c r="U74" s="274">
        <v>314.20000000000005</v>
      </c>
      <c r="V74" s="564"/>
      <c r="W74" s="274">
        <v>131.70000000000005</v>
      </c>
      <c r="X74" s="564"/>
      <c r="Y74" s="274">
        <f>$AD74-SUM($E74:W74)</f>
        <v>69.299999999999955</v>
      </c>
      <c r="Z74" s="564"/>
      <c r="AA74" s="274"/>
      <c r="AB74" s="274"/>
      <c r="AC74" s="534"/>
      <c r="AD74" s="542">
        <v>1489.5</v>
      </c>
      <c r="AE74" s="274"/>
      <c r="AF74" s="535" t="s">
        <v>103</v>
      </c>
      <c r="AG74" s="542">
        <v>880.7</v>
      </c>
      <c r="AH74" s="274"/>
      <c r="AI74" s="103"/>
      <c r="AJ74" s="274">
        <f t="shared" si="1"/>
        <v>608.79999999999995</v>
      </c>
      <c r="AK74" s="41"/>
      <c r="AL74" s="573">
        <f>ROUND(IF(AG74=0,1,AJ74/ABS(AG74)),3)</f>
        <v>0.69099999999999995</v>
      </c>
      <c r="AM74" s="1712"/>
      <c r="AN74" s="1712"/>
    </row>
    <row r="75" spans="1:40">
      <c r="A75" s="301"/>
      <c r="B75" s="301" t="s">
        <v>132</v>
      </c>
      <c r="C75" s="3"/>
      <c r="D75" s="301"/>
      <c r="E75" s="274">
        <v>54.4</v>
      </c>
      <c r="F75" s="274"/>
      <c r="G75" s="274">
        <v>29.1</v>
      </c>
      <c r="H75" s="274"/>
      <c r="I75" s="274">
        <v>54.800000000000004</v>
      </c>
      <c r="J75" s="274"/>
      <c r="K75" s="274">
        <v>158.19999999999999</v>
      </c>
      <c r="L75" s="564"/>
      <c r="M75" s="274">
        <v>235.89999999999998</v>
      </c>
      <c r="N75" s="564"/>
      <c r="O75" s="274">
        <v>254.00000000000006</v>
      </c>
      <c r="P75" s="564"/>
      <c r="Q75" s="274">
        <v>314</v>
      </c>
      <c r="R75" s="564"/>
      <c r="S75" s="274">
        <v>36.299999999999955</v>
      </c>
      <c r="T75" s="564"/>
      <c r="U75" s="274">
        <v>141.79999999999995</v>
      </c>
      <c r="V75" s="564"/>
      <c r="W75" s="274">
        <v>19.400000000000091</v>
      </c>
      <c r="X75" s="564"/>
      <c r="Y75" s="274">
        <f>$AD75-SUM($E75:W75)</f>
        <v>50</v>
      </c>
      <c r="Z75" s="564"/>
      <c r="AA75" s="274"/>
      <c r="AB75" s="274"/>
      <c r="AC75" s="534"/>
      <c r="AD75" s="542">
        <v>1347.9</v>
      </c>
      <c r="AE75" s="274"/>
      <c r="AF75" s="535" t="s">
        <v>103</v>
      </c>
      <c r="AG75" s="542">
        <v>883.3</v>
      </c>
      <c r="AH75" s="274"/>
      <c r="AI75" s="103"/>
      <c r="AJ75" s="274">
        <f t="shared" si="1"/>
        <v>464.6</v>
      </c>
      <c r="AL75" s="573">
        <f>ROUND(IF(AG75=0,0,AJ75/ABS(AG75)),3)</f>
        <v>0.52600000000000002</v>
      </c>
      <c r="AM75" s="1712"/>
      <c r="AN75" s="1712"/>
    </row>
    <row r="76" spans="1:40">
      <c r="A76" s="301"/>
      <c r="B76" s="301" t="s">
        <v>133</v>
      </c>
      <c r="C76" s="301"/>
      <c r="D76" s="301"/>
      <c r="E76" s="274">
        <v>2.5</v>
      </c>
      <c r="F76" s="274"/>
      <c r="G76" s="274">
        <v>2.5</v>
      </c>
      <c r="H76" s="274"/>
      <c r="I76" s="274">
        <v>95.1</v>
      </c>
      <c r="J76" s="274"/>
      <c r="K76" s="274">
        <v>1.1000000000000085</v>
      </c>
      <c r="L76" s="564"/>
      <c r="M76" s="274">
        <v>5.3999999999999915</v>
      </c>
      <c r="N76" s="564"/>
      <c r="O76" s="274">
        <v>172.00000000000006</v>
      </c>
      <c r="P76" s="564"/>
      <c r="Q76" s="274">
        <v>303.29999999999995</v>
      </c>
      <c r="R76" s="564"/>
      <c r="S76" s="274">
        <v>1.6000000000000227</v>
      </c>
      <c r="T76" s="564"/>
      <c r="U76" s="274">
        <v>312.70000000000005</v>
      </c>
      <c r="V76" s="564"/>
      <c r="W76" s="274">
        <v>7.6000000000000227</v>
      </c>
      <c r="X76" s="564"/>
      <c r="Y76" s="274">
        <f>$AD76-SUM($E76:W76)</f>
        <v>404.99999999999989</v>
      </c>
      <c r="Z76" s="564"/>
      <c r="AA76" s="274"/>
      <c r="AB76" s="274"/>
      <c r="AC76" s="534"/>
      <c r="AD76" s="542">
        <v>1308.8</v>
      </c>
      <c r="AE76" s="274"/>
      <c r="AF76" s="535" t="s">
        <v>103</v>
      </c>
      <c r="AG76" s="542">
        <v>862.4</v>
      </c>
      <c r="AH76" s="274"/>
      <c r="AI76" s="103"/>
      <c r="AJ76" s="274">
        <f t="shared" si="1"/>
        <v>446.4</v>
      </c>
      <c r="AK76" s="41"/>
      <c r="AL76" s="553">
        <f>ROUND(IF(AG76=0,0,AJ76/ABS(AG76)),3)</f>
        <v>0.51800000000000002</v>
      </c>
      <c r="AM76" s="1712"/>
      <c r="AN76" s="1712"/>
    </row>
    <row r="77" spans="1:40">
      <c r="A77" s="301"/>
      <c r="B77" s="3" t="s">
        <v>572</v>
      </c>
      <c r="C77" s="301"/>
      <c r="D77" s="301"/>
      <c r="E77" s="630">
        <f>ROUND(SUM(E67:E76),1)</f>
        <v>175.7</v>
      </c>
      <c r="F77" s="13"/>
      <c r="G77" s="630">
        <f>ROUND(SUM(G67:G76),1)</f>
        <v>183.1</v>
      </c>
      <c r="H77" s="13"/>
      <c r="I77" s="630">
        <f>ROUND(SUM(I67:I76),1)</f>
        <v>286.5</v>
      </c>
      <c r="J77" s="13"/>
      <c r="K77" s="630">
        <f>ROUND(SUM(K67:K76),1)</f>
        <v>442.5</v>
      </c>
      <c r="L77" s="13"/>
      <c r="M77" s="630">
        <f>ROUND(SUM(M67:M76),1)</f>
        <v>619.29999999999995</v>
      </c>
      <c r="N77" s="13"/>
      <c r="O77" s="630">
        <f>ROUND(SUM(O67:O76),1)</f>
        <v>572</v>
      </c>
      <c r="P77" s="13"/>
      <c r="Q77" s="630">
        <f>ROUND(SUM(Q67:Q76),1)</f>
        <v>1258.2</v>
      </c>
      <c r="R77" s="13"/>
      <c r="S77" s="630">
        <f>ROUND(SUM(S67:S76),1)</f>
        <v>330.6</v>
      </c>
      <c r="T77" s="13"/>
      <c r="U77" s="630">
        <f>ROUND(SUM(U67:U76),1)</f>
        <v>996.7</v>
      </c>
      <c r="V77" s="13"/>
      <c r="W77" s="630">
        <f>ROUND(SUM(W67:W76),1)</f>
        <v>270.39999999999998</v>
      </c>
      <c r="X77" s="13"/>
      <c r="Y77" s="630">
        <f>ROUND(SUM(Y67:Y76),1)</f>
        <v>665.3</v>
      </c>
      <c r="Z77" s="13"/>
      <c r="AA77" s="630">
        <f>ROUND(SUM(AA67:AA76),1)</f>
        <v>0</v>
      </c>
      <c r="AB77" s="13"/>
      <c r="AC77" s="14"/>
      <c r="AD77" s="630">
        <f>ROUND(SUM(AD67:AD76),1)</f>
        <v>5800.3</v>
      </c>
      <c r="AE77" s="1266"/>
      <c r="AF77" s="13"/>
      <c r="AG77" s="630">
        <f>ROUND(SUM(AG67:AG76),1)</f>
        <v>4226.3</v>
      </c>
      <c r="AH77" s="13"/>
      <c r="AI77" s="103"/>
      <c r="AJ77" s="630">
        <f>ROUND(SUM(AJ67:AJ76),1)</f>
        <v>1574</v>
      </c>
      <c r="AK77" s="3"/>
      <c r="AL77" s="548">
        <f>ROUND(IF(AG77=0,0,AJ77/ABS(AG77)),3)</f>
        <v>0.372</v>
      </c>
      <c r="AM77" s="1712"/>
      <c r="AN77" s="1712"/>
    </row>
    <row r="78" spans="1:40">
      <c r="A78" s="301"/>
      <c r="B78" s="301" t="s">
        <v>573</v>
      </c>
      <c r="C78" s="301"/>
      <c r="D78" s="301"/>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534"/>
      <c r="AD78" s="274"/>
      <c r="AE78" s="1264"/>
      <c r="AF78" s="274"/>
      <c r="AG78" s="274"/>
      <c r="AH78" s="274"/>
      <c r="AI78" s="103"/>
      <c r="AJ78" s="12"/>
      <c r="AL78" s="101"/>
      <c r="AM78" s="1712"/>
      <c r="AN78" s="1712"/>
    </row>
    <row r="79" spans="1:40">
      <c r="A79" s="301"/>
      <c r="B79" s="301" t="s">
        <v>574</v>
      </c>
      <c r="C79" s="301"/>
      <c r="D79" s="301"/>
      <c r="E79" s="274">
        <v>0</v>
      </c>
      <c r="F79" s="274"/>
      <c r="G79" s="274">
        <v>0</v>
      </c>
      <c r="H79" s="274"/>
      <c r="I79" s="274">
        <v>0</v>
      </c>
      <c r="J79" s="274"/>
      <c r="K79" s="274">
        <v>0</v>
      </c>
      <c r="L79" s="564"/>
      <c r="M79" s="274">
        <v>0</v>
      </c>
      <c r="N79" s="564"/>
      <c r="O79" s="274">
        <v>0</v>
      </c>
      <c r="P79" s="564"/>
      <c r="Q79" s="274">
        <v>0</v>
      </c>
      <c r="R79" s="564"/>
      <c r="S79" s="274">
        <v>0</v>
      </c>
      <c r="T79" s="564"/>
      <c r="U79" s="274">
        <v>0</v>
      </c>
      <c r="V79" s="564"/>
      <c r="W79" s="274">
        <v>0</v>
      </c>
      <c r="X79" s="564"/>
      <c r="Y79" s="274">
        <f>$AD79-SUM($E79:W79)</f>
        <v>0</v>
      </c>
      <c r="Z79" s="564"/>
      <c r="AA79" s="274"/>
      <c r="AB79" s="274"/>
      <c r="AC79" s="534"/>
      <c r="AD79" s="274">
        <v>0</v>
      </c>
      <c r="AE79" s="1264"/>
      <c r="AF79" s="274"/>
      <c r="AG79" s="274">
        <v>0</v>
      </c>
      <c r="AH79" s="377"/>
      <c r="AI79" s="105"/>
      <c r="AJ79" s="274">
        <f>ROUND(AD79-AG79,1)</f>
        <v>0</v>
      </c>
      <c r="AL79" s="276">
        <f>ROUND(IF(AG79=0,0,AJ79/ABS(AG79)),3)</f>
        <v>0</v>
      </c>
      <c r="AM79" s="1712"/>
      <c r="AN79" s="1712"/>
    </row>
    <row r="80" spans="1:40">
      <c r="A80" s="301"/>
      <c r="B80" s="301" t="s">
        <v>575</v>
      </c>
      <c r="C80" s="301"/>
      <c r="D80" s="301"/>
      <c r="E80" s="274">
        <v>0</v>
      </c>
      <c r="F80" s="274"/>
      <c r="G80" s="274">
        <v>0</v>
      </c>
      <c r="H80" s="274"/>
      <c r="I80" s="274">
        <v>0</v>
      </c>
      <c r="J80" s="274"/>
      <c r="K80" s="274">
        <v>0</v>
      </c>
      <c r="L80" s="564"/>
      <c r="M80" s="274">
        <v>0</v>
      </c>
      <c r="N80" s="564"/>
      <c r="O80" s="274">
        <v>0</v>
      </c>
      <c r="P80" s="564"/>
      <c r="Q80" s="274">
        <v>0</v>
      </c>
      <c r="R80" s="564"/>
      <c r="S80" s="274">
        <v>0</v>
      </c>
      <c r="T80" s="564"/>
      <c r="U80" s="274">
        <v>0</v>
      </c>
      <c r="V80" s="564"/>
      <c r="W80" s="274">
        <v>0</v>
      </c>
      <c r="X80" s="564"/>
      <c r="Y80" s="274">
        <f>$AD80-SUM($E80:W80)</f>
        <v>0</v>
      </c>
      <c r="Z80" s="564"/>
      <c r="AA80" s="274"/>
      <c r="AB80" s="274"/>
      <c r="AC80" s="534"/>
      <c r="AD80" s="903">
        <v>0</v>
      </c>
      <c r="AE80" s="1264"/>
      <c r="AF80" s="274"/>
      <c r="AG80" s="903">
        <v>0</v>
      </c>
      <c r="AH80" s="377"/>
      <c r="AI80" s="105"/>
      <c r="AJ80" s="274">
        <f>ROUND(AD80-AG80,1)</f>
        <v>0</v>
      </c>
      <c r="AL80" s="276">
        <f>ROUND(IF(AG80=0,0,AJ80/ABS(AG80)),3)</f>
        <v>0</v>
      </c>
      <c r="AM80" s="1712"/>
      <c r="AN80" s="1712"/>
    </row>
    <row r="81" spans="1:40">
      <c r="A81" s="301"/>
      <c r="B81" s="301" t="s">
        <v>576</v>
      </c>
      <c r="C81" s="301"/>
      <c r="D81" s="301"/>
      <c r="E81" s="274">
        <v>0</v>
      </c>
      <c r="F81" s="274"/>
      <c r="G81" s="274">
        <v>0</v>
      </c>
      <c r="H81" s="274"/>
      <c r="I81" s="274">
        <v>0</v>
      </c>
      <c r="J81" s="274"/>
      <c r="K81" s="274">
        <v>0</v>
      </c>
      <c r="L81" s="564"/>
      <c r="M81" s="274">
        <v>0</v>
      </c>
      <c r="N81" s="564"/>
      <c r="O81" s="274">
        <v>0</v>
      </c>
      <c r="P81" s="564"/>
      <c r="Q81" s="274">
        <v>0</v>
      </c>
      <c r="R81" s="564"/>
      <c r="S81" s="274">
        <v>0</v>
      </c>
      <c r="T81" s="564"/>
      <c r="U81" s="274">
        <v>0</v>
      </c>
      <c r="V81" s="564"/>
      <c r="W81" s="274">
        <v>0</v>
      </c>
      <c r="X81" s="564"/>
      <c r="Y81" s="274">
        <f>$AD81-SUM($E81:W81)</f>
        <v>0</v>
      </c>
      <c r="Z81" s="564"/>
      <c r="AA81" s="274"/>
      <c r="AB81" s="1094"/>
      <c r="AC81" s="1095"/>
      <c r="AD81" s="274">
        <v>0</v>
      </c>
      <c r="AE81" s="1264"/>
      <c r="AF81" s="274"/>
      <c r="AG81" s="274">
        <v>0</v>
      </c>
      <c r="AH81" s="377"/>
      <c r="AI81" s="105"/>
      <c r="AJ81" s="274">
        <f>ROUND(AD81-AG81,1)</f>
        <v>0</v>
      </c>
      <c r="AL81" s="276">
        <f>ROUND(IF(AG81=0,0,AJ81/ABS(AG81)),3)</f>
        <v>0</v>
      </c>
      <c r="AM81" s="1712"/>
      <c r="AN81" s="1712"/>
    </row>
    <row r="82" spans="1:40">
      <c r="A82" s="301"/>
      <c r="B82" s="423" t="s">
        <v>521</v>
      </c>
      <c r="C82" s="301"/>
      <c r="D82" s="301"/>
      <c r="E82" s="274">
        <v>377.1</v>
      </c>
      <c r="F82" s="274"/>
      <c r="G82" s="274">
        <v>620.09999999999991</v>
      </c>
      <c r="H82" s="274"/>
      <c r="I82" s="274">
        <v>596.09999999999991</v>
      </c>
      <c r="J82" s="274"/>
      <c r="K82" s="274">
        <v>659.70000000000027</v>
      </c>
      <c r="L82" s="564"/>
      <c r="M82" s="274">
        <v>688.80000000000018</v>
      </c>
      <c r="N82" s="564"/>
      <c r="O82" s="274">
        <v>683</v>
      </c>
      <c r="P82" s="564"/>
      <c r="Q82" s="274">
        <v>943.30000000000018</v>
      </c>
      <c r="R82" s="564"/>
      <c r="S82" s="274">
        <v>621.5</v>
      </c>
      <c r="T82" s="564"/>
      <c r="U82" s="274">
        <v>674.09999999999945</v>
      </c>
      <c r="V82" s="564"/>
      <c r="W82" s="274">
        <v>562.50000000000091</v>
      </c>
      <c r="X82" s="564"/>
      <c r="Y82" s="274">
        <f>$AD82-SUM($E82:W82)</f>
        <v>618.79999999999927</v>
      </c>
      <c r="Z82" s="564"/>
      <c r="AA82" s="274"/>
      <c r="AB82" s="274"/>
      <c r="AC82" s="534"/>
      <c r="AD82" s="1012">
        <v>7045</v>
      </c>
      <c r="AE82" s="274"/>
      <c r="AF82" s="535" t="s">
        <v>103</v>
      </c>
      <c r="AG82" s="1012">
        <v>6141.4</v>
      </c>
      <c r="AH82" s="297"/>
      <c r="AI82" s="102"/>
      <c r="AJ82" s="393">
        <f>ROUND(AD82-AG82,1)</f>
        <v>903.6</v>
      </c>
      <c r="AL82" s="544">
        <f>ROUND(IF(AG82=0,0,AJ82/ABS(AG82)),3)</f>
        <v>0.14699999999999999</v>
      </c>
      <c r="AM82" s="1712"/>
      <c r="AN82" s="1712"/>
    </row>
    <row r="83" spans="1:40">
      <c r="A83" s="301"/>
      <c r="B83" s="301"/>
      <c r="C83" s="301"/>
      <c r="D83" s="301"/>
      <c r="E83" s="629"/>
      <c r="F83" s="274"/>
      <c r="G83" s="629"/>
      <c r="H83" s="274"/>
      <c r="I83" s="629"/>
      <c r="J83" s="274"/>
      <c r="K83" s="629"/>
      <c r="L83" s="274"/>
      <c r="M83" s="629"/>
      <c r="N83" s="274"/>
      <c r="O83" s="629"/>
      <c r="P83" s="274"/>
      <c r="Q83" s="629"/>
      <c r="R83" s="274"/>
      <c r="S83" s="629"/>
      <c r="T83" s="274"/>
      <c r="U83" s="629"/>
      <c r="V83" s="274"/>
      <c r="W83" s="629"/>
      <c r="X83" s="274"/>
      <c r="Y83" s="629"/>
      <c r="Z83" s="274"/>
      <c r="AA83" s="629"/>
      <c r="AB83" s="274"/>
      <c r="AC83" s="534"/>
      <c r="AD83" s="12"/>
      <c r="AE83" s="1264"/>
      <c r="AF83" s="274"/>
      <c r="AG83" s="12"/>
      <c r="AH83" s="12"/>
      <c r="AI83" s="103"/>
      <c r="AJ83" s="12"/>
      <c r="AL83" s="101"/>
      <c r="AM83" s="1712"/>
      <c r="AN83" s="1712"/>
    </row>
    <row r="84" spans="1:40">
      <c r="A84" s="301"/>
      <c r="B84" s="3" t="s">
        <v>577</v>
      </c>
      <c r="C84" s="301"/>
      <c r="D84" s="301"/>
      <c r="E84" s="13">
        <f>ROUND(SUM(E77:E82),1)</f>
        <v>552.79999999999995</v>
      </c>
      <c r="F84" s="13"/>
      <c r="G84" s="13">
        <f>ROUND(SUM(G77:G82),1)</f>
        <v>803.2</v>
      </c>
      <c r="H84" s="13"/>
      <c r="I84" s="13">
        <f>ROUND(SUM(I77:I82),1)</f>
        <v>882.6</v>
      </c>
      <c r="J84" s="13"/>
      <c r="K84" s="13">
        <f>ROUND(SUM(K77:K82),1)</f>
        <v>1102.2</v>
      </c>
      <c r="L84" s="13"/>
      <c r="M84" s="13">
        <f>ROUND(SUM(M77:M82),1)</f>
        <v>1308.0999999999999</v>
      </c>
      <c r="N84" s="13"/>
      <c r="O84" s="13">
        <f>ROUND(SUM(O77:O82),1)</f>
        <v>1255</v>
      </c>
      <c r="P84" s="13"/>
      <c r="Q84" s="13">
        <f>ROUND(SUM(Q77:Q82),1)</f>
        <v>2201.5</v>
      </c>
      <c r="R84" s="13"/>
      <c r="S84" s="13">
        <f>ROUND(SUM(S77:S82),1)</f>
        <v>952.1</v>
      </c>
      <c r="T84" s="13"/>
      <c r="U84" s="13">
        <f>ROUND(SUM(U77:U82),1)</f>
        <v>1670.8</v>
      </c>
      <c r="V84" s="13"/>
      <c r="W84" s="13">
        <f>ROUND(SUM(W77:W82),1)</f>
        <v>832.9</v>
      </c>
      <c r="X84" s="13"/>
      <c r="Y84" s="13">
        <f>ROUND(SUM(Y77:Y82),1)</f>
        <v>1284.0999999999999</v>
      </c>
      <c r="Z84" s="13"/>
      <c r="AA84" s="13">
        <f>ROUND(SUM(AA77:AA82),1)</f>
        <v>0</v>
      </c>
      <c r="AB84" s="13"/>
      <c r="AC84" s="14"/>
      <c r="AD84" s="13">
        <f>ROUND(SUM(AD77:AD82),1)</f>
        <v>12845.3</v>
      </c>
      <c r="AE84" s="1266"/>
      <c r="AF84" s="13"/>
      <c r="AG84" s="13">
        <f>ROUND(SUM(AG77:AG82),1)</f>
        <v>10367.700000000001</v>
      </c>
      <c r="AH84" s="13"/>
      <c r="AI84" s="103"/>
      <c r="AJ84" s="367">
        <f>ROUND(AD84-AG84,1)</f>
        <v>2477.6</v>
      </c>
      <c r="AK84" s="3"/>
      <c r="AL84" s="549">
        <f>ROUND(IF(AG84=0,0,AJ84/ABS(AG84)),3)</f>
        <v>0.23899999999999999</v>
      </c>
      <c r="AM84" s="1712"/>
      <c r="AN84" s="1712"/>
    </row>
    <row r="85" spans="1:40">
      <c r="A85" s="301"/>
      <c r="B85" s="301"/>
      <c r="C85" s="301"/>
      <c r="D85" s="301"/>
      <c r="E85" s="629"/>
      <c r="F85" s="274"/>
      <c r="G85" s="629"/>
      <c r="H85" s="274"/>
      <c r="I85" s="629"/>
      <c r="J85" s="274"/>
      <c r="K85" s="629"/>
      <c r="L85" s="274"/>
      <c r="M85" s="629"/>
      <c r="N85" s="274"/>
      <c r="O85" s="629"/>
      <c r="P85" s="274"/>
      <c r="Q85" s="629"/>
      <c r="R85" s="274"/>
      <c r="S85" s="629"/>
      <c r="T85" s="274"/>
      <c r="U85" s="629"/>
      <c r="V85" s="274"/>
      <c r="W85" s="629"/>
      <c r="X85" s="274"/>
      <c r="Y85" s="629"/>
      <c r="Z85" s="274"/>
      <c r="AA85" s="629"/>
      <c r="AB85" s="274"/>
      <c r="AC85" s="534"/>
      <c r="AD85" s="629"/>
      <c r="AE85" s="1264"/>
      <c r="AF85" s="274"/>
      <c r="AG85" s="629"/>
      <c r="AH85" s="274"/>
      <c r="AI85" s="103"/>
      <c r="AJ85" s="12"/>
      <c r="AL85" s="101"/>
      <c r="AM85" s="1712"/>
      <c r="AN85" s="1712"/>
    </row>
    <row r="86" spans="1:40">
      <c r="A86" s="301"/>
      <c r="B86" s="3" t="s">
        <v>578</v>
      </c>
      <c r="C86" s="301"/>
      <c r="D86" s="301"/>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534"/>
      <c r="AD86" s="12"/>
      <c r="AE86" s="1264"/>
      <c r="AF86" s="274"/>
      <c r="AG86" s="12"/>
      <c r="AH86" s="12"/>
      <c r="AI86" s="103"/>
      <c r="AJ86" s="12"/>
      <c r="AL86" s="101"/>
      <c r="AM86" s="1712"/>
      <c r="AN86" s="1712"/>
    </row>
    <row r="87" spans="1:40">
      <c r="A87" s="301"/>
      <c r="B87" s="3" t="s">
        <v>579</v>
      </c>
      <c r="C87" s="301"/>
      <c r="D87" s="301"/>
      <c r="E87" s="13">
        <f>ROUND(SUM(E63-E84),1)</f>
        <v>-274.39999999999998</v>
      </c>
      <c r="F87" s="13"/>
      <c r="G87" s="13">
        <f>ROUND(SUM(G63-G84),1)</f>
        <v>700.3</v>
      </c>
      <c r="H87" s="13"/>
      <c r="I87" s="13">
        <f>ROUND(SUM(I63-I84),1)</f>
        <v>-636.79999999999995</v>
      </c>
      <c r="J87" s="13"/>
      <c r="K87" s="13">
        <f>ROUND(SUM(K63-K84),1)</f>
        <v>-480</v>
      </c>
      <c r="L87" s="13"/>
      <c r="M87" s="13">
        <f>ROUND(SUM(M63-M84),1)</f>
        <v>-1079.5</v>
      </c>
      <c r="N87" s="13"/>
      <c r="O87" s="13">
        <f>ROUND(SUM(O63-O84),1)</f>
        <v>-614.1</v>
      </c>
      <c r="P87" s="13"/>
      <c r="Q87" s="13">
        <f>ROUND(SUM(Q63-Q84),1)</f>
        <v>-1728.2</v>
      </c>
      <c r="R87" s="13"/>
      <c r="S87" s="13">
        <f>ROUND(SUM(S63-S84),1)</f>
        <v>-736.6</v>
      </c>
      <c r="T87" s="13"/>
      <c r="U87" s="13">
        <f>ROUND(SUM(U63-U84),1)</f>
        <v>-1274.2</v>
      </c>
      <c r="V87" s="13"/>
      <c r="W87" s="13">
        <f>ROUND(SUM(W63-W84),1)</f>
        <v>-614.6</v>
      </c>
      <c r="X87" s="13"/>
      <c r="Y87" s="13">
        <f>ROUND(SUM(Y63-Y84),1)</f>
        <v>-1059</v>
      </c>
      <c r="Z87" s="13"/>
      <c r="AA87" s="13">
        <f>ROUND(SUM(AA63-AA84),1)</f>
        <v>0</v>
      </c>
      <c r="AB87" s="13"/>
      <c r="AC87" s="14"/>
      <c r="AD87" s="13">
        <f>ROUND(SUM(AD63-AD84),1)</f>
        <v>-7797.1</v>
      </c>
      <c r="AE87" s="1266"/>
      <c r="AF87" s="13"/>
      <c r="AG87" s="13">
        <f>ROUND(SUM(AG63-AG84),1)</f>
        <v>-4987</v>
      </c>
      <c r="AH87" s="13"/>
      <c r="AI87" s="103"/>
      <c r="AJ87" s="367">
        <f>ROUND(AD87-AG87,1)</f>
        <v>-2810.1</v>
      </c>
      <c r="AK87" s="3"/>
      <c r="AL87" s="550">
        <f>ROUND(IF(AG87=0,0,AJ87/ABS(AG87)),3)</f>
        <v>-0.56299999999999994</v>
      </c>
      <c r="AM87" s="1712"/>
      <c r="AN87" s="1712"/>
    </row>
    <row r="88" spans="1:40">
      <c r="A88" s="301"/>
      <c r="B88" s="301"/>
      <c r="C88" s="301"/>
      <c r="D88" s="301"/>
      <c r="E88" s="629"/>
      <c r="F88" s="274"/>
      <c r="G88" s="629"/>
      <c r="H88" s="274"/>
      <c r="I88" s="629"/>
      <c r="J88" s="274"/>
      <c r="K88" s="629"/>
      <c r="L88" s="274"/>
      <c r="M88" s="629"/>
      <c r="N88" s="274"/>
      <c r="O88" s="629"/>
      <c r="P88" s="274"/>
      <c r="Q88" s="629"/>
      <c r="R88" s="274"/>
      <c r="S88" s="629"/>
      <c r="T88" s="274"/>
      <c r="U88" s="629"/>
      <c r="V88" s="274"/>
      <c r="W88" s="629"/>
      <c r="X88" s="274"/>
      <c r="Y88" s="629"/>
      <c r="Z88" s="274"/>
      <c r="AA88" s="629"/>
      <c r="AB88" s="274"/>
      <c r="AC88" s="534"/>
      <c r="AD88" s="629"/>
      <c r="AE88" s="1264"/>
      <c r="AF88" s="274"/>
      <c r="AG88" s="629"/>
      <c r="AH88" s="274"/>
      <c r="AI88" s="103"/>
      <c r="AJ88" s="12"/>
      <c r="AL88" s="101"/>
      <c r="AM88" s="1712"/>
      <c r="AN88" s="1712"/>
    </row>
    <row r="89" spans="1:40">
      <c r="A89" s="301"/>
      <c r="B89" s="3" t="s">
        <v>580</v>
      </c>
      <c r="C89" s="301"/>
      <c r="D89" s="301"/>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534"/>
      <c r="AD89" s="377"/>
      <c r="AE89" s="1264"/>
      <c r="AF89" s="274"/>
      <c r="AG89" s="377"/>
      <c r="AH89" s="377"/>
      <c r="AI89" s="105"/>
      <c r="AJ89" s="12"/>
      <c r="AL89" s="101"/>
      <c r="AM89" s="1712"/>
      <c r="AN89" s="1712"/>
    </row>
    <row r="90" spans="1:40">
      <c r="A90" s="301"/>
      <c r="B90" s="301" t="s">
        <v>581</v>
      </c>
      <c r="C90" s="301"/>
      <c r="D90" s="301"/>
      <c r="E90" s="274">
        <v>0</v>
      </c>
      <c r="F90" s="274"/>
      <c r="G90" s="274">
        <v>0</v>
      </c>
      <c r="H90" s="274"/>
      <c r="I90" s="274">
        <v>0</v>
      </c>
      <c r="J90" s="274"/>
      <c r="K90" s="274">
        <v>0</v>
      </c>
      <c r="L90" s="564"/>
      <c r="M90" s="274">
        <v>0</v>
      </c>
      <c r="N90" s="564"/>
      <c r="O90" s="274">
        <v>0</v>
      </c>
      <c r="P90" s="564"/>
      <c r="Q90" s="274">
        <v>0</v>
      </c>
      <c r="R90" s="564"/>
      <c r="S90" s="274">
        <v>0</v>
      </c>
      <c r="T90" s="564"/>
      <c r="U90" s="274">
        <v>0</v>
      </c>
      <c r="V90" s="564"/>
      <c r="W90" s="274">
        <v>0</v>
      </c>
      <c r="X90" s="564"/>
      <c r="Y90" s="274">
        <f>$AD90-SUM($E90:W90)</f>
        <v>0</v>
      </c>
      <c r="Z90" s="564"/>
      <c r="AA90" s="274"/>
      <c r="AB90" s="274"/>
      <c r="AC90" s="534"/>
      <c r="AD90" s="542">
        <v>0</v>
      </c>
      <c r="AE90" s="297"/>
      <c r="AF90" s="1857"/>
      <c r="AG90" s="542">
        <v>505</v>
      </c>
      <c r="AH90" s="377"/>
      <c r="AI90" s="105"/>
      <c r="AJ90" s="274">
        <f>ROUND(AD90-AG90,1)</f>
        <v>-505</v>
      </c>
      <c r="AK90" s="41"/>
      <c r="AL90" s="553">
        <f>ROUND(IF(AG90=0,0,AJ90/ABS(AG90)),3)</f>
        <v>-1</v>
      </c>
      <c r="AM90" s="1712"/>
      <c r="AN90" s="1712"/>
    </row>
    <row r="91" spans="1:40">
      <c r="A91" s="301"/>
      <c r="B91" s="423" t="s">
        <v>523</v>
      </c>
      <c r="C91" s="301"/>
      <c r="D91" s="301"/>
      <c r="E91" s="274">
        <v>285</v>
      </c>
      <c r="F91" s="274"/>
      <c r="G91" s="274">
        <v>-893.5</v>
      </c>
      <c r="H91" s="274"/>
      <c r="I91" s="274">
        <v>803.5</v>
      </c>
      <c r="J91" s="274"/>
      <c r="K91" s="274">
        <v>245.5</v>
      </c>
      <c r="L91" s="564"/>
      <c r="M91" s="274">
        <v>780.5</v>
      </c>
      <c r="N91" s="564"/>
      <c r="O91" s="274">
        <v>790.40000000000009</v>
      </c>
      <c r="P91" s="564"/>
      <c r="Q91" s="274">
        <v>1399</v>
      </c>
      <c r="R91" s="564"/>
      <c r="S91" s="274">
        <v>574.5</v>
      </c>
      <c r="T91" s="564"/>
      <c r="U91" s="274">
        <v>1054.0999999999999</v>
      </c>
      <c r="V91" s="564"/>
      <c r="W91" s="274">
        <v>478.30000000000018</v>
      </c>
      <c r="X91" s="564"/>
      <c r="Y91" s="274">
        <f>$AD91-SUM($E91:W91)</f>
        <v>921.69999999999982</v>
      </c>
      <c r="Z91" s="564"/>
      <c r="AA91" s="274"/>
      <c r="AB91" s="274"/>
      <c r="AC91" s="534"/>
      <c r="AD91" s="542">
        <v>6439</v>
      </c>
      <c r="AE91" s="297"/>
      <c r="AF91" s="1857"/>
      <c r="AG91" s="542">
        <v>3821.6</v>
      </c>
      <c r="AH91" s="297"/>
      <c r="AI91" s="102"/>
      <c r="AJ91" s="274">
        <f>ROUND(AD91-AG91,1)</f>
        <v>2617.4</v>
      </c>
      <c r="AL91" s="553">
        <f>ROUND(IF(AG91=0,0,AJ91/ABS(AG91)),3)</f>
        <v>0.68500000000000005</v>
      </c>
      <c r="AM91" s="1712"/>
      <c r="AN91" s="1712"/>
    </row>
    <row r="92" spans="1:40">
      <c r="A92" s="301"/>
      <c r="B92" s="423" t="s">
        <v>582</v>
      </c>
      <c r="C92" s="301"/>
      <c r="D92" s="301"/>
      <c r="E92" s="274">
        <v>-5.7</v>
      </c>
      <c r="F92" s="274"/>
      <c r="G92" s="274">
        <v>-5.9999999999999991</v>
      </c>
      <c r="H92" s="274"/>
      <c r="I92" s="274">
        <v>-20.7</v>
      </c>
      <c r="J92" s="274"/>
      <c r="K92" s="274">
        <v>-6.7999999999999936</v>
      </c>
      <c r="L92" s="564"/>
      <c r="M92" s="274">
        <v>-5.9000000000000057</v>
      </c>
      <c r="N92" s="564"/>
      <c r="O92" s="274">
        <v>-5.1000000000000014</v>
      </c>
      <c r="P92" s="564"/>
      <c r="Q92" s="274">
        <v>-7.7000000000000028</v>
      </c>
      <c r="R92" s="564"/>
      <c r="S92" s="274">
        <v>-6.5000000000000071</v>
      </c>
      <c r="T92" s="564"/>
      <c r="U92" s="274">
        <v>-60.699999999999989</v>
      </c>
      <c r="V92" s="564"/>
      <c r="W92" s="274">
        <v>-3.4000000000000057</v>
      </c>
      <c r="X92" s="564"/>
      <c r="Y92" s="274">
        <f>$AD92-SUM($E92:W92)</f>
        <v>-1.3000000000000114</v>
      </c>
      <c r="Z92" s="564"/>
      <c r="AA92" s="274"/>
      <c r="AB92" s="274"/>
      <c r="AC92" s="534"/>
      <c r="AD92" s="1012">
        <v>-129.80000000000001</v>
      </c>
      <c r="AE92" s="297"/>
      <c r="AF92" s="1857"/>
      <c r="AG92" s="1012">
        <v>-136.6</v>
      </c>
      <c r="AH92" s="274"/>
      <c r="AI92" s="103"/>
      <c r="AJ92" s="393">
        <f>ROUND(-AD92+AG92,1)</f>
        <v>-6.8</v>
      </c>
      <c r="AL92" s="544">
        <f>ROUND(IF(AG92=0,0,AJ92/ABS(AG92)),3)</f>
        <v>-0.05</v>
      </c>
      <c r="AM92" s="1712"/>
      <c r="AN92" s="1712"/>
    </row>
    <row r="93" spans="1:40">
      <c r="A93" s="301"/>
      <c r="B93" s="301"/>
      <c r="C93" s="301"/>
      <c r="D93" s="301"/>
      <c r="E93" s="629"/>
      <c r="F93" s="274"/>
      <c r="G93" s="629"/>
      <c r="H93" s="274"/>
      <c r="I93" s="629"/>
      <c r="J93" s="274"/>
      <c r="K93" s="629"/>
      <c r="L93" s="274"/>
      <c r="M93" s="629"/>
      <c r="N93" s="274"/>
      <c r="O93" s="629"/>
      <c r="P93" s="274"/>
      <c r="Q93" s="629"/>
      <c r="R93" s="274"/>
      <c r="S93" s="629"/>
      <c r="T93" s="274"/>
      <c r="U93" s="629"/>
      <c r="V93" s="274"/>
      <c r="W93" s="629"/>
      <c r="X93" s="274"/>
      <c r="Y93" s="629"/>
      <c r="Z93" s="274"/>
      <c r="AA93" s="629"/>
      <c r="AB93" s="274"/>
      <c r="AC93" s="534"/>
      <c r="AD93" s="12"/>
      <c r="AE93" s="1264"/>
      <c r="AF93" s="274"/>
      <c r="AG93" s="12"/>
      <c r="AH93" s="12"/>
      <c r="AI93" s="103"/>
      <c r="AJ93" s="12"/>
      <c r="AL93" s="101"/>
      <c r="AM93" s="1712"/>
      <c r="AN93" s="1712"/>
    </row>
    <row r="94" spans="1:40">
      <c r="A94" s="301"/>
      <c r="B94" s="3" t="s">
        <v>591</v>
      </c>
      <c r="C94" s="301"/>
      <c r="D94" s="301"/>
      <c r="E94" s="13">
        <f>ROUND(SUM(E90:E92),1)</f>
        <v>279.3</v>
      </c>
      <c r="F94" s="13"/>
      <c r="G94" s="13">
        <f>ROUND(SUM(G90:G92),1)</f>
        <v>-899.5</v>
      </c>
      <c r="H94" s="13"/>
      <c r="I94" s="13">
        <f>ROUND(SUM(I90:I92),1)</f>
        <v>782.8</v>
      </c>
      <c r="J94" s="13"/>
      <c r="K94" s="13">
        <f>ROUND(SUM(K90:K92),1)</f>
        <v>238.7</v>
      </c>
      <c r="L94" s="13"/>
      <c r="M94" s="13">
        <f>ROUND(SUM(M90:M92),1)</f>
        <v>774.6</v>
      </c>
      <c r="N94" s="13"/>
      <c r="O94" s="13">
        <f>ROUND(SUM(O90:O92),1)</f>
        <v>785.3</v>
      </c>
      <c r="P94" s="13"/>
      <c r="Q94" s="13">
        <f>ROUND(SUM(Q90:Q92),1)</f>
        <v>1391.3</v>
      </c>
      <c r="R94" s="13"/>
      <c r="S94" s="13">
        <f>ROUND(SUM(S90:S92),1)</f>
        <v>568</v>
      </c>
      <c r="T94" s="13"/>
      <c r="U94" s="13">
        <f>ROUND(SUM(U90:U92),1)</f>
        <v>993.4</v>
      </c>
      <c r="V94" s="13"/>
      <c r="W94" s="13">
        <f>ROUND(SUM(W90:W92),1)</f>
        <v>474.9</v>
      </c>
      <c r="X94" s="13"/>
      <c r="Y94" s="13">
        <f>ROUND(SUM(Y90:Y92),1)</f>
        <v>920.4</v>
      </c>
      <c r="Z94" s="13"/>
      <c r="AA94" s="13">
        <f>ROUND(SUM(AA90:AA92),1)</f>
        <v>0</v>
      </c>
      <c r="AB94" s="13"/>
      <c r="AC94" s="14"/>
      <c r="AD94" s="13">
        <f>ROUND(SUM(AD90:AD92),1)</f>
        <v>6309.2</v>
      </c>
      <c r="AE94" s="1266"/>
      <c r="AF94" s="13"/>
      <c r="AG94" s="13">
        <f>ROUND(SUM(AG90:AG92),1)</f>
        <v>4190</v>
      </c>
      <c r="AH94" s="13"/>
      <c r="AI94" s="103"/>
      <c r="AJ94" s="367">
        <f>ROUND(AD94-AG94,1)</f>
        <v>2119.1999999999998</v>
      </c>
      <c r="AK94" s="3"/>
      <c r="AL94" s="550">
        <f>ROUND(IF(AG94=0,0,AJ94/ABS(AG94)),3)</f>
        <v>0.50600000000000001</v>
      </c>
      <c r="AM94" s="1712"/>
      <c r="AN94" s="1712"/>
    </row>
    <row r="95" spans="1:40">
      <c r="A95" s="301"/>
      <c r="B95" s="301"/>
      <c r="C95" s="301"/>
      <c r="D95" s="301"/>
      <c r="E95" s="629"/>
      <c r="F95" s="274"/>
      <c r="G95" s="629"/>
      <c r="H95" s="274"/>
      <c r="I95" s="629"/>
      <c r="J95" s="274"/>
      <c r="K95" s="629"/>
      <c r="L95" s="274"/>
      <c r="M95" s="629"/>
      <c r="N95" s="274"/>
      <c r="O95" s="629"/>
      <c r="P95" s="274"/>
      <c r="Q95" s="629"/>
      <c r="R95" s="274"/>
      <c r="S95" s="629"/>
      <c r="T95" s="274"/>
      <c r="U95" s="629"/>
      <c r="V95" s="274"/>
      <c r="W95" s="629"/>
      <c r="X95" s="274"/>
      <c r="Y95" s="629"/>
      <c r="Z95" s="274"/>
      <c r="AA95" s="629"/>
      <c r="AB95" s="274"/>
      <c r="AC95" s="534"/>
      <c r="AD95" s="629"/>
      <c r="AE95" s="1264"/>
      <c r="AF95" s="274"/>
      <c r="AG95" s="629"/>
      <c r="AH95" s="274"/>
      <c r="AI95" s="103"/>
      <c r="AJ95" s="12"/>
      <c r="AL95" s="101"/>
      <c r="AM95" s="1712"/>
      <c r="AN95" s="1712"/>
    </row>
    <row r="96" spans="1:40">
      <c r="A96" s="301"/>
      <c r="B96" s="3" t="s">
        <v>584</v>
      </c>
      <c r="C96" s="301"/>
      <c r="D96" s="301"/>
      <c r="E96" s="274"/>
      <c r="F96" s="274"/>
      <c r="G96" s="274" t="s">
        <v>103</v>
      </c>
      <c r="H96" s="274"/>
      <c r="I96" s="274" t="s">
        <v>103</v>
      </c>
      <c r="J96" s="274"/>
      <c r="K96" s="274" t="s">
        <v>103</v>
      </c>
      <c r="L96" s="274"/>
      <c r="M96" s="274" t="s">
        <v>103</v>
      </c>
      <c r="N96" s="274"/>
      <c r="O96" s="274" t="s">
        <v>103</v>
      </c>
      <c r="P96" s="274"/>
      <c r="Q96" s="274" t="s">
        <v>103</v>
      </c>
      <c r="R96" s="274"/>
      <c r="S96" s="274" t="s">
        <v>103</v>
      </c>
      <c r="T96" s="274"/>
      <c r="U96" s="274" t="s">
        <v>103</v>
      </c>
      <c r="V96" s="274"/>
      <c r="W96" s="274" t="s">
        <v>103</v>
      </c>
      <c r="X96" s="274"/>
      <c r="Y96" s="274" t="s">
        <v>103</v>
      </c>
      <c r="Z96" s="274"/>
      <c r="AA96" s="274" t="s">
        <v>103</v>
      </c>
      <c r="AB96" s="274"/>
      <c r="AC96" s="534"/>
      <c r="AD96" s="274"/>
      <c r="AE96" s="1264"/>
      <c r="AF96" s="274"/>
      <c r="AG96" s="274"/>
      <c r="AH96" s="274"/>
      <c r="AI96" s="103"/>
      <c r="AJ96" s="12"/>
      <c r="AL96" s="101"/>
      <c r="AM96" s="1712"/>
      <c r="AN96" s="1712"/>
    </row>
    <row r="97" spans="1:40">
      <c r="A97" s="301"/>
      <c r="B97" s="3" t="s">
        <v>585</v>
      </c>
      <c r="C97" s="301"/>
      <c r="D97" s="301"/>
      <c r="E97" s="274" t="s">
        <v>103</v>
      </c>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534"/>
      <c r="AD97" s="12"/>
      <c r="AE97" s="1264"/>
      <c r="AF97" s="274"/>
      <c r="AG97" s="12"/>
      <c r="AH97" s="12"/>
      <c r="AI97" s="103"/>
      <c r="AJ97" s="12"/>
      <c r="AL97" s="101"/>
      <c r="AM97" s="1712"/>
      <c r="AN97" s="1712"/>
    </row>
    <row r="98" spans="1:40" s="12" customFormat="1">
      <c r="A98" s="274"/>
      <c r="B98" s="13" t="s">
        <v>1433</v>
      </c>
      <c r="C98" s="274"/>
      <c r="D98" s="274"/>
      <c r="E98" s="734">
        <f>ROUND(SUM(E87+E94),1)</f>
        <v>4.9000000000000004</v>
      </c>
      <c r="F98" s="735"/>
      <c r="G98" s="734">
        <f>ROUND(SUM(G87+G94),1)</f>
        <v>-199.2</v>
      </c>
      <c r="H98" s="735"/>
      <c r="I98" s="734">
        <f>ROUND(SUM(I87+I94),1)</f>
        <v>146</v>
      </c>
      <c r="J98" s="735"/>
      <c r="K98" s="734">
        <f>ROUND(SUM(K87+K94),1)</f>
        <v>-241.3</v>
      </c>
      <c r="L98" s="735"/>
      <c r="M98" s="734">
        <f>ROUND(SUM(M87+M94),1)</f>
        <v>-304.89999999999998</v>
      </c>
      <c r="N98" s="735"/>
      <c r="O98" s="734">
        <f>ROUND(SUM(O87+O94),1)</f>
        <v>171.2</v>
      </c>
      <c r="P98" s="735"/>
      <c r="Q98" s="734">
        <f>ROUND(SUM(Q87+Q94),1)</f>
        <v>-336.9</v>
      </c>
      <c r="R98" s="735"/>
      <c r="S98" s="734">
        <f>ROUND(SUM(S87+S94),1)</f>
        <v>-168.6</v>
      </c>
      <c r="T98" s="735"/>
      <c r="U98" s="734">
        <f>ROUND(SUM(U87+U94),1)</f>
        <v>-280.8</v>
      </c>
      <c r="V98" s="735"/>
      <c r="W98" s="734">
        <f>ROUND(SUM(W87+W94),1)</f>
        <v>-139.69999999999999</v>
      </c>
      <c r="X98" s="943"/>
      <c r="Y98" s="734">
        <f>ROUND(SUM(Y87+Y94),1)</f>
        <v>-138.6</v>
      </c>
      <c r="Z98" s="735"/>
      <c r="AA98" s="734">
        <f>ROUND(SUM(AA87+AA94),1)</f>
        <v>0</v>
      </c>
      <c r="AB98" s="735"/>
      <c r="AC98" s="736"/>
      <c r="AD98" s="734">
        <f>ROUND(SUM(AD87+AD94),1)</f>
        <v>-1487.9</v>
      </c>
      <c r="AE98" s="1276"/>
      <c r="AF98" s="13"/>
      <c r="AG98" s="734">
        <f>ROUND(SUM(AG87+AG94),1)</f>
        <v>-797</v>
      </c>
      <c r="AH98" s="13"/>
      <c r="AI98" s="103"/>
      <c r="AJ98" s="734">
        <f>ROUND(SUM(AJ87+AJ94),1)</f>
        <v>-690.9</v>
      </c>
      <c r="AK98" s="13"/>
      <c r="AL98" s="550">
        <f>ROUND(IF(AG98=0,0,AJ98/ABS(AG98)),3)</f>
        <v>-0.86699999999999999</v>
      </c>
      <c r="AM98" s="1712"/>
      <c r="AN98" s="1712"/>
    </row>
    <row r="99" spans="1:40">
      <c r="B99" s="948"/>
      <c r="X99" s="1101"/>
      <c r="AC99" s="1869"/>
      <c r="AF99" s="1869"/>
      <c r="AI99" s="1870"/>
      <c r="AM99" s="1712"/>
      <c r="AN99" s="1712"/>
    </row>
    <row r="100" spans="1:40" ht="16" thickBot="1">
      <c r="B100" s="3" t="s">
        <v>540</v>
      </c>
      <c r="C100" s="108"/>
      <c r="D100" s="108"/>
      <c r="E100" s="74">
        <f>ROUND(SUM(E13+E98),1)</f>
        <v>-740.4</v>
      </c>
      <c r="F100" s="108"/>
      <c r="G100" s="74">
        <f>ROUND(SUM(G13+G98),1)</f>
        <v>-939.6</v>
      </c>
      <c r="I100" s="74">
        <f>ROUND(SUM(I13+I98),1)</f>
        <v>-793.6</v>
      </c>
      <c r="K100" s="74">
        <f>ROUND(SUM(K13+K98),1)</f>
        <v>-1034.9000000000001</v>
      </c>
      <c r="M100" s="74">
        <f>ROUND(SUM(M13+M98),1)</f>
        <v>-1339.8</v>
      </c>
      <c r="O100" s="74">
        <f>ROUND(SUM(O13+O98),1)</f>
        <v>-1168.5999999999999</v>
      </c>
      <c r="Q100" s="74">
        <f>ROUND(SUM(Q13+Q98),1)</f>
        <v>-1505.5</v>
      </c>
      <c r="S100" s="74">
        <f>ROUND(SUM(S13+S98),1)</f>
        <v>-1674.1</v>
      </c>
      <c r="U100" s="74">
        <f>ROUND(SUM(U13+U98),1)</f>
        <v>-1954.9</v>
      </c>
      <c r="W100" s="74">
        <f>ROUND(SUM(W13+W98),1)</f>
        <v>-2094.6</v>
      </c>
      <c r="Y100" s="74">
        <f>ROUND(SUM(Y13+Y98),1)</f>
        <v>-2233.1999999999998</v>
      </c>
      <c r="AA100" s="74">
        <f>ROUND(SUM(AA13+AA98),1)</f>
        <v>0</v>
      </c>
      <c r="AC100" s="1869"/>
      <c r="AD100" s="74">
        <f>ROUND(SUM(AD13+AD98),1)</f>
        <v>-2233.1999999999998</v>
      </c>
      <c r="AF100" s="1869"/>
      <c r="AG100" s="74">
        <f>ROUND(SUM(AG13+AG98),1)</f>
        <v>-1911.7</v>
      </c>
      <c r="AI100" s="1870"/>
      <c r="AJ100" s="74">
        <f>ROUND(SUM(AJ13+AJ98),1)</f>
        <v>-321.5</v>
      </c>
      <c r="AL100" s="81">
        <f>ROUND(IF(AG100=0,0,AJ100/ABS(AG100)),3)</f>
        <v>-0.16800000000000001</v>
      </c>
      <c r="AM100" s="1712"/>
      <c r="AN100" s="1712"/>
    </row>
    <row r="101" spans="1:40" ht="16" thickTop="1">
      <c r="B101" s="944"/>
      <c r="C101" s="108"/>
      <c r="D101" s="108"/>
      <c r="E101" s="108"/>
      <c r="F101" s="108"/>
      <c r="G101" s="108"/>
      <c r="AG101" s="436"/>
      <c r="AJ101" s="41"/>
    </row>
    <row r="102" spans="1:40">
      <c r="B102" s="109"/>
    </row>
    <row r="103" spans="1:40">
      <c r="B103" s="109"/>
      <c r="AD103" s="12"/>
    </row>
    <row r="104" spans="1:40">
      <c r="B104" s="107"/>
    </row>
    <row r="105" spans="1:40">
      <c r="B105" s="109"/>
    </row>
    <row r="106" spans="1:40">
      <c r="B106" s="109"/>
    </row>
    <row r="107" spans="1:40">
      <c r="B107" s="107"/>
    </row>
  </sheetData>
  <mergeCells count="1">
    <mergeCell ref="AC9:AL9"/>
  </mergeCells>
  <printOptions horizontalCentered="1"/>
  <pageMargins left="0.25" right="0.25" top="0.5" bottom="0.25" header="0" footer="0.25"/>
  <pageSetup scale="44" firstPageNumber="32" fitToHeight="0" orientation="landscape" useFirstPageNumber="1" r:id="rId1"/>
  <headerFooter scaleWithDoc="0" alignWithMargins="0">
    <oddFooter>&amp;C&amp;8&amp;P</oddFooter>
  </headerFooter>
  <rowBreaks count="1" manualBreakCount="1">
    <brk id="64" min="1" max="37" man="1"/>
  </rowBreaks>
  <customProperties>
    <customPr name="SheetOptions" r:id="rId2"/>
  </customProperties>
  <ignoredErrors>
    <ignoredError sqref="AL38 AL31:AL34 AL36 AL93 AL95 AL88:AL89 AL85:AL86 AL91:AL92 AL78 AL83 AL84 AL79:AL82 AL75 AL22 AL30 AL27 AL19 AL29 AL23 AL25:AL26 AL21 AL77 AL96:AL98" unlockedFormula="1"/>
    <ignoredError sqref="AL46 AL63 AL71:AL72 AL68:AL69 AL70 AL64:AL66 AL60 AL51" formula="1" unlockedFormula="1"/>
    <ignoredError sqref="AL48:AL49 AL53 AL50 AL56:AL59 AL2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89"/>
  <sheetViews>
    <sheetView showGridLines="0" zoomScale="78" zoomScaleNormal="80" workbookViewId="0"/>
  </sheetViews>
  <sheetFormatPr defaultColWidth="8.69140625" defaultRowHeight="15.5"/>
  <cols>
    <col min="1" max="1" width="2.53515625" style="23" customWidth="1"/>
    <col min="2" max="2" width="14.07421875" style="23" customWidth="1"/>
    <col min="3" max="3" width="26.53515625" style="23" customWidth="1"/>
    <col min="4" max="4" width="2.07421875" style="23" customWidth="1"/>
    <col min="5" max="5" width="11.69140625" style="23" customWidth="1"/>
    <col min="6" max="6" width="1.69140625" style="23" customWidth="1"/>
    <col min="7" max="7" width="11.69140625" style="23" customWidth="1"/>
    <col min="8" max="8" width="1.69140625" style="23" customWidth="1"/>
    <col min="9" max="9" width="11.69140625" style="23" customWidth="1"/>
    <col min="10" max="10" width="1.69140625" style="23" customWidth="1"/>
    <col min="11" max="11" width="11.69140625" style="23" customWidth="1"/>
    <col min="12" max="12" width="1.69140625" style="23" customWidth="1"/>
    <col min="13" max="13" width="11.69140625" style="23" customWidth="1"/>
    <col min="14" max="14" width="1.69140625" style="23" customWidth="1"/>
    <col min="15" max="15" width="12.69140625" style="23" customWidth="1"/>
    <col min="16" max="16" width="1.69140625" style="23" customWidth="1"/>
    <col min="17" max="17" width="11.69140625" style="23" customWidth="1"/>
    <col min="18" max="18" width="1.69140625" style="23" customWidth="1"/>
    <col min="19" max="19" width="11.69140625" style="23" customWidth="1"/>
    <col min="20" max="20" width="1.69140625" style="23" customWidth="1"/>
    <col min="21" max="21" width="11.69140625" style="23" customWidth="1"/>
    <col min="22" max="22" width="1.69140625" style="23" customWidth="1"/>
    <col min="23" max="23" width="11.69140625" style="23" customWidth="1"/>
    <col min="24" max="24" width="1.69140625" style="23" customWidth="1"/>
    <col min="25" max="25" width="11.69140625" style="23" customWidth="1"/>
    <col min="26" max="26" width="1.69140625" style="23" customWidth="1"/>
    <col min="27" max="27" width="11.69140625" style="23" customWidth="1"/>
    <col min="28" max="29" width="1.07421875" style="23" customWidth="1"/>
    <col min="30" max="30" width="12.69140625" style="23" customWidth="1"/>
    <col min="31" max="32" width="1.07421875" style="23" customWidth="1"/>
    <col min="33" max="33" width="12.69140625" style="23" customWidth="1"/>
    <col min="34" max="35" width="1.07421875" style="23" customWidth="1"/>
    <col min="36" max="36" width="12.69140625" style="23" customWidth="1"/>
    <col min="37" max="37" width="1.07421875" style="23" customWidth="1"/>
    <col min="38" max="38" width="12.69140625" style="23" customWidth="1"/>
    <col min="39" max="39" width="8.69140625" style="23" bestFit="1" customWidth="1"/>
    <col min="40" max="40" width="9.4609375" style="23" bestFit="1" customWidth="1"/>
    <col min="41" max="16384" width="8.69140625" style="23"/>
  </cols>
  <sheetData>
    <row r="1" spans="1:40">
      <c r="B1" s="275" t="s">
        <v>97</v>
      </c>
    </row>
    <row r="2" spans="1:40">
      <c r="B2" s="364"/>
    </row>
    <row r="3" spans="1:40" ht="19.5" customHeight="1">
      <c r="A3" s="89"/>
      <c r="B3" s="51" t="s">
        <v>98</v>
      </c>
      <c r="C3" s="90"/>
      <c r="D3" s="90"/>
      <c r="E3" s="90"/>
      <c r="F3" s="91"/>
      <c r="G3" s="91"/>
      <c r="H3" s="91"/>
      <c r="I3" s="91"/>
      <c r="J3" s="91"/>
      <c r="K3" s="91"/>
      <c r="L3" s="91"/>
      <c r="M3" s="91"/>
      <c r="N3" s="91"/>
      <c r="O3" s="91"/>
      <c r="P3" s="91"/>
      <c r="Q3" s="91"/>
      <c r="R3" s="91"/>
      <c r="S3" s="1166"/>
      <c r="T3" s="91"/>
      <c r="U3" s="91"/>
      <c r="V3" s="91"/>
      <c r="W3" s="91"/>
      <c r="X3" s="91"/>
      <c r="Y3" s="91"/>
      <c r="Z3" s="91"/>
      <c r="AA3" s="91"/>
      <c r="AB3" s="91"/>
      <c r="AC3" s="91"/>
      <c r="AD3" s="91"/>
      <c r="AE3" s="91"/>
      <c r="AF3" s="91"/>
      <c r="AG3" s="91"/>
      <c r="AH3" s="91"/>
      <c r="AI3" s="91"/>
      <c r="AL3" s="76" t="s">
        <v>561</v>
      </c>
    </row>
    <row r="4" spans="1:40" ht="19.5" customHeight="1">
      <c r="A4" s="89"/>
      <c r="B4" s="51" t="s">
        <v>592</v>
      </c>
      <c r="C4" s="90"/>
      <c r="D4" s="90"/>
      <c r="E4" s="90"/>
      <c r="F4" s="91"/>
      <c r="G4" s="91"/>
      <c r="H4" s="91"/>
      <c r="I4" s="91"/>
      <c r="J4" s="91"/>
      <c r="K4" s="91"/>
      <c r="L4" s="91"/>
      <c r="M4" s="91"/>
      <c r="N4" s="91"/>
      <c r="O4" s="91"/>
      <c r="P4" s="91"/>
      <c r="Q4" s="91"/>
      <c r="R4" s="91"/>
      <c r="S4" s="91"/>
      <c r="T4" s="91"/>
      <c r="U4" s="91"/>
      <c r="V4" s="91"/>
      <c r="W4" s="91"/>
      <c r="X4" s="91"/>
      <c r="Y4" s="91"/>
      <c r="Z4" s="91"/>
      <c r="AA4" s="91"/>
      <c r="AB4" s="91"/>
      <c r="AC4" s="91"/>
      <c r="AE4" s="92"/>
      <c r="AF4" s="92"/>
    </row>
    <row r="5" spans="1:40" ht="19.5" customHeight="1">
      <c r="A5" s="89"/>
      <c r="B5" s="551" t="s">
        <v>452</v>
      </c>
      <c r="C5" s="90"/>
      <c r="D5" s="90"/>
      <c r="E5" s="90"/>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L5" s="76"/>
    </row>
    <row r="6" spans="1:40" ht="19.5" customHeight="1">
      <c r="A6" s="89"/>
      <c r="B6" s="551" t="str">
        <f>'Cashflow Governmental'!A6</f>
        <v>FISCAL YEAR 2024-2025</v>
      </c>
      <c r="C6" s="947"/>
      <c r="D6" s="90"/>
      <c r="E6" s="90"/>
      <c r="F6" s="91"/>
      <c r="G6" s="91"/>
      <c r="H6" s="1162"/>
      <c r="I6" s="91"/>
      <c r="J6" s="91"/>
      <c r="K6" s="91"/>
      <c r="L6" s="91"/>
      <c r="M6" s="91"/>
      <c r="N6" s="91"/>
      <c r="O6" s="91"/>
      <c r="P6" s="91"/>
      <c r="Q6" s="91"/>
      <c r="R6" s="91"/>
      <c r="S6" s="91"/>
      <c r="T6" s="91"/>
      <c r="U6" s="91"/>
      <c r="V6" s="91"/>
      <c r="W6" s="91"/>
      <c r="X6" s="91"/>
      <c r="Y6" s="91"/>
      <c r="Z6" s="91"/>
      <c r="AA6" s="91"/>
      <c r="AB6" s="91"/>
      <c r="AC6" s="91"/>
      <c r="AD6" s="91"/>
      <c r="AE6" s="93"/>
      <c r="AF6" s="93"/>
      <c r="AG6" s="93"/>
      <c r="AH6" s="93"/>
      <c r="AI6" s="93"/>
    </row>
    <row r="7" spans="1:40" ht="19.5" customHeight="1">
      <c r="A7" s="89"/>
      <c r="B7" s="51" t="s">
        <v>233</v>
      </c>
      <c r="C7" s="90"/>
      <c r="D7" s="90"/>
      <c r="E7" s="90"/>
      <c r="F7" s="91"/>
      <c r="G7" s="91"/>
      <c r="H7" s="1162"/>
      <c r="I7" s="91"/>
      <c r="J7" s="91"/>
      <c r="K7" s="91"/>
      <c r="L7" s="91"/>
      <c r="M7" s="91"/>
      <c r="N7" s="91"/>
      <c r="O7" s="91"/>
      <c r="P7" s="91"/>
      <c r="Q7" s="91"/>
      <c r="R7" s="91"/>
      <c r="S7" s="91"/>
      <c r="T7" s="91"/>
      <c r="U7" s="91"/>
      <c r="V7" s="91"/>
      <c r="W7" s="91"/>
      <c r="X7" s="91"/>
      <c r="Y7" s="91"/>
      <c r="Z7" s="91"/>
      <c r="AA7" s="91"/>
      <c r="AB7" s="91"/>
      <c r="AC7" s="91"/>
      <c r="AD7" s="91"/>
      <c r="AE7" s="93"/>
      <c r="AF7" s="93"/>
      <c r="AG7" s="93"/>
      <c r="AH7" s="93"/>
      <c r="AI7" s="93"/>
    </row>
    <row r="8" spans="1:40" ht="19.5" customHeight="1">
      <c r="A8" s="89"/>
      <c r="B8" s="563"/>
      <c r="C8" s="90"/>
      <c r="D8" s="90"/>
      <c r="E8" s="1635"/>
      <c r="F8" s="91"/>
      <c r="G8" s="91"/>
      <c r="H8" s="1162"/>
      <c r="I8" s="91"/>
      <c r="J8" s="91"/>
      <c r="K8" s="91"/>
      <c r="L8" s="91"/>
      <c r="M8" s="91"/>
      <c r="N8" s="91"/>
      <c r="O8" s="91"/>
      <c r="P8" s="91"/>
      <c r="Q8" s="91"/>
      <c r="R8" s="91"/>
      <c r="S8" s="91"/>
      <c r="T8" s="91"/>
      <c r="U8" s="91"/>
      <c r="V8" s="91"/>
      <c r="W8" s="91"/>
      <c r="X8" s="91"/>
      <c r="Y8" s="91"/>
      <c r="Z8" s="91"/>
      <c r="AA8" s="91"/>
      <c r="AB8" s="91"/>
      <c r="AC8" s="91"/>
      <c r="AD8" s="91"/>
      <c r="AE8" s="93"/>
      <c r="AF8" s="93"/>
      <c r="AG8" s="93"/>
      <c r="AH8" s="93"/>
      <c r="AI8" s="93"/>
    </row>
    <row r="9" spans="1:40" ht="15.75" customHeight="1">
      <c r="A9" s="89"/>
      <c r="B9" s="51"/>
      <c r="C9" s="90"/>
      <c r="D9" s="90"/>
      <c r="E9" s="1610"/>
      <c r="F9" s="91"/>
      <c r="G9" s="91"/>
      <c r="H9" s="91"/>
      <c r="I9" s="91"/>
      <c r="J9" s="91"/>
      <c r="K9" s="91"/>
      <c r="L9" s="91"/>
      <c r="M9" s="91"/>
      <c r="N9" s="91"/>
      <c r="O9" s="91"/>
      <c r="P9" s="91"/>
      <c r="Q9" s="91"/>
      <c r="R9" s="91"/>
      <c r="S9" s="91"/>
      <c r="T9" s="91"/>
      <c r="U9" s="91"/>
      <c r="V9" s="91"/>
      <c r="W9" s="91"/>
      <c r="X9" s="91"/>
      <c r="Y9" s="91"/>
      <c r="Z9" s="91"/>
      <c r="AA9" s="91"/>
      <c r="AB9" s="91"/>
      <c r="AC9" s="2124" t="str">
        <f>'Cashflow Governmental'!$AB$12</f>
        <v>11 Months Ended February 28</v>
      </c>
      <c r="AD9" s="2124"/>
      <c r="AE9" s="2124"/>
      <c r="AF9" s="2124"/>
      <c r="AG9" s="2124"/>
      <c r="AH9" s="2124"/>
      <c r="AI9" s="2124"/>
      <c r="AJ9" s="2124"/>
      <c r="AK9" s="2124"/>
      <c r="AL9" s="2124"/>
    </row>
    <row r="10" spans="1:40">
      <c r="A10" s="96"/>
      <c r="B10" s="96"/>
      <c r="C10" s="96"/>
      <c r="D10" s="96"/>
      <c r="E10" s="324" t="str">
        <f>'Cashflow Governmental'!C13</f>
        <v>2024</v>
      </c>
      <c r="F10" s="333"/>
      <c r="G10" s="333"/>
      <c r="H10" s="333"/>
      <c r="I10" s="333"/>
      <c r="J10" s="333"/>
      <c r="K10" s="333"/>
      <c r="L10" s="333"/>
      <c r="M10" s="333"/>
      <c r="N10" s="333"/>
      <c r="O10" s="333"/>
      <c r="P10" s="333"/>
      <c r="Q10" s="333"/>
      <c r="R10" s="333"/>
      <c r="S10" s="333"/>
      <c r="T10" s="333"/>
      <c r="U10" s="333"/>
      <c r="V10" s="333"/>
      <c r="W10" s="324">
        <f>'Cashflow Governmental'!U13</f>
        <v>2025</v>
      </c>
      <c r="X10" s="333"/>
      <c r="Y10" s="333"/>
      <c r="Z10" s="333"/>
      <c r="AA10" s="333"/>
      <c r="AB10" s="333"/>
      <c r="AC10" s="333"/>
      <c r="AD10" s="333"/>
      <c r="AE10" s="333"/>
      <c r="AF10" s="333"/>
      <c r="AG10" s="333"/>
      <c r="AH10" s="333"/>
      <c r="AI10" s="333"/>
      <c r="AJ10" s="330" t="s">
        <v>110</v>
      </c>
      <c r="AK10" s="330"/>
      <c r="AL10" s="328" t="s">
        <v>111</v>
      </c>
      <c r="AM10" s="3"/>
    </row>
    <row r="11" spans="1:40">
      <c r="A11" s="301"/>
      <c r="B11" s="301"/>
      <c r="C11" s="301"/>
      <c r="D11" s="301"/>
      <c r="E11" s="1249" t="s">
        <v>336</v>
      </c>
      <c r="F11" s="3"/>
      <c r="G11" s="1249" t="s">
        <v>337</v>
      </c>
      <c r="H11" s="3"/>
      <c r="I11" s="1249" t="s">
        <v>338</v>
      </c>
      <c r="J11" s="3"/>
      <c r="K11" s="1249" t="s">
        <v>339</v>
      </c>
      <c r="L11" s="3"/>
      <c r="M11" s="1249" t="s">
        <v>340</v>
      </c>
      <c r="N11" s="3"/>
      <c r="O11" s="1249" t="s">
        <v>453</v>
      </c>
      <c r="P11" s="3"/>
      <c r="Q11" s="1249" t="s">
        <v>454</v>
      </c>
      <c r="R11" s="3"/>
      <c r="S11" s="1249" t="s">
        <v>343</v>
      </c>
      <c r="T11" s="3"/>
      <c r="U11" s="1249" t="s">
        <v>344</v>
      </c>
      <c r="V11" s="3"/>
      <c r="W11" s="1249" t="s">
        <v>345</v>
      </c>
      <c r="X11" s="3"/>
      <c r="Y11" s="1249" t="s">
        <v>346</v>
      </c>
      <c r="Z11" s="3"/>
      <c r="AA11" s="1249" t="s">
        <v>455</v>
      </c>
      <c r="AB11" s="3"/>
      <c r="AC11" s="3"/>
      <c r="AD11" s="1249" t="str">
        <f>'Cashflow Governmental'!AB14</f>
        <v>2025</v>
      </c>
      <c r="AE11" s="3" t="s">
        <v>103</v>
      </c>
      <c r="AF11" s="3"/>
      <c r="AG11" s="1249" t="str">
        <f>'Cashflow Governmental'!AE14</f>
        <v>2024</v>
      </c>
      <c r="AH11" s="55"/>
      <c r="AI11" s="55"/>
      <c r="AJ11" s="426" t="s">
        <v>112</v>
      </c>
      <c r="AK11" s="330"/>
      <c r="AL11" s="426" t="s">
        <v>113</v>
      </c>
      <c r="AM11" s="3"/>
    </row>
    <row r="12" spans="1:40" ht="5.25" customHeight="1">
      <c r="A12" s="301"/>
      <c r="B12" s="3"/>
      <c r="C12" s="3"/>
      <c r="D12" s="301"/>
      <c r="E12" s="278"/>
      <c r="F12" s="278"/>
      <c r="G12" s="278"/>
      <c r="H12" s="278"/>
      <c r="I12" s="278"/>
      <c r="J12" s="278"/>
      <c r="K12" s="278"/>
      <c r="L12" s="278"/>
      <c r="M12" s="278"/>
      <c r="N12" s="278"/>
      <c r="O12" s="278"/>
      <c r="P12" s="278"/>
      <c r="Q12" s="278"/>
      <c r="R12" s="278"/>
      <c r="S12" s="278"/>
      <c r="T12" s="278"/>
      <c r="U12" s="278"/>
      <c r="V12" s="278"/>
      <c r="W12" s="278"/>
      <c r="X12" s="278"/>
      <c r="Y12" s="278"/>
      <c r="Z12" s="278"/>
      <c r="AA12" s="278"/>
      <c r="AB12" s="278"/>
      <c r="AC12" s="278"/>
      <c r="AD12" s="278"/>
      <c r="AE12" s="278"/>
      <c r="AF12" s="278"/>
      <c r="AG12" s="278"/>
      <c r="AH12" s="278"/>
      <c r="AI12" s="40"/>
    </row>
    <row r="13" spans="1:40">
      <c r="A13" s="301"/>
      <c r="B13" s="1248" t="s">
        <v>564</v>
      </c>
      <c r="C13" s="3"/>
      <c r="E13" s="87">
        <v>-572.79999999999995</v>
      </c>
      <c r="F13" s="278"/>
      <c r="G13" s="87">
        <f>E81</f>
        <v>-449.3</v>
      </c>
      <c r="H13" s="87"/>
      <c r="I13" s="87">
        <f>G81</f>
        <v>-491.2</v>
      </c>
      <c r="J13" s="278"/>
      <c r="K13" s="87">
        <f>I81</f>
        <v>-473.3</v>
      </c>
      <c r="L13" s="278"/>
      <c r="M13" s="87">
        <f>K81</f>
        <v>-517.79999999999995</v>
      </c>
      <c r="N13" s="278"/>
      <c r="O13" s="87">
        <f>M81</f>
        <v>-504.6</v>
      </c>
      <c r="P13" s="278"/>
      <c r="Q13" s="87">
        <f>O81</f>
        <v>-480.3</v>
      </c>
      <c r="R13" s="284"/>
      <c r="S13" s="87">
        <f>Q81</f>
        <v>-507.7</v>
      </c>
      <c r="T13" s="20"/>
      <c r="U13" s="87">
        <f>S81</f>
        <v>-478.9</v>
      </c>
      <c r="V13" s="20"/>
      <c r="W13" s="87">
        <f>U81</f>
        <v>-446.8</v>
      </c>
      <c r="X13" s="20"/>
      <c r="Y13" s="87">
        <f>W81</f>
        <v>-457.5</v>
      </c>
      <c r="Z13" s="20"/>
      <c r="AA13" s="87"/>
      <c r="AB13" s="278"/>
      <c r="AC13" s="681"/>
      <c r="AD13" s="1853">
        <f>E13</f>
        <v>-572.79999999999995</v>
      </c>
      <c r="AE13" s="278"/>
      <c r="AF13" s="1075"/>
      <c r="AG13" s="2073">
        <v>-479.8</v>
      </c>
      <c r="AH13" s="278"/>
      <c r="AI13" s="97"/>
      <c r="AJ13" s="1853">
        <f>+AD13-AG13</f>
        <v>-92.999999999999943</v>
      </c>
      <c r="AL13" s="78">
        <f>-ROUND((+AJ13/AG13),3)</f>
        <v>-0.19400000000000001</v>
      </c>
      <c r="AM13" s="1712"/>
      <c r="AN13" s="1712"/>
    </row>
    <row r="14" spans="1:40">
      <c r="A14" s="301"/>
      <c r="B14" s="3"/>
      <c r="C14" s="3"/>
      <c r="D14" s="301"/>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681"/>
      <c r="AD14" s="278"/>
      <c r="AE14" s="278"/>
      <c r="AF14" s="1075"/>
      <c r="AG14" s="278"/>
      <c r="AH14" s="278"/>
      <c r="AI14" s="97"/>
      <c r="AM14" s="1712"/>
      <c r="AN14" s="1712"/>
    </row>
    <row r="15" spans="1:40">
      <c r="A15" s="301"/>
      <c r="B15" s="3" t="s">
        <v>565</v>
      </c>
      <c r="C15" s="301"/>
      <c r="D15" s="301"/>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681"/>
      <c r="AD15" s="278"/>
      <c r="AE15" s="278"/>
      <c r="AF15" s="1075"/>
      <c r="AG15" s="278"/>
      <c r="AH15" s="278"/>
      <c r="AI15" s="97"/>
      <c r="AM15" s="1712"/>
      <c r="AN15" s="1712"/>
    </row>
    <row r="16" spans="1:40">
      <c r="A16" s="301"/>
      <c r="B16" s="360" t="s">
        <v>390</v>
      </c>
      <c r="C16" s="301"/>
      <c r="D16" s="301"/>
      <c r="E16" s="299"/>
      <c r="F16" s="274"/>
      <c r="G16" s="299"/>
      <c r="H16" s="274"/>
      <c r="I16" s="299"/>
      <c r="J16" s="274"/>
      <c r="K16" s="299"/>
      <c r="L16" s="274"/>
      <c r="M16" s="274"/>
      <c r="N16" s="274"/>
      <c r="O16" s="299"/>
      <c r="P16" s="274"/>
      <c r="Q16" s="299"/>
      <c r="R16" s="274"/>
      <c r="S16" s="299"/>
      <c r="T16" s="274"/>
      <c r="U16" s="299"/>
      <c r="V16" s="274"/>
      <c r="W16" s="299"/>
      <c r="X16" s="274"/>
      <c r="Y16" s="299"/>
      <c r="Z16" s="274"/>
      <c r="AA16" s="299"/>
      <c r="AB16" s="274"/>
      <c r="AC16" s="534"/>
      <c r="AD16" s="1914"/>
      <c r="AE16" s="1264"/>
      <c r="AF16" s="274"/>
      <c r="AG16" s="274"/>
      <c r="AH16" s="297"/>
      <c r="AI16" s="102"/>
      <c r="AJ16" s="297"/>
      <c r="AK16" s="41"/>
      <c r="AL16" s="101"/>
      <c r="AM16" s="1712"/>
      <c r="AN16" s="1712"/>
    </row>
    <row r="17" spans="1:40">
      <c r="A17" s="301"/>
      <c r="B17" s="360" t="s">
        <v>391</v>
      </c>
      <c r="C17" s="301"/>
      <c r="D17" s="301"/>
      <c r="E17" s="299"/>
      <c r="F17" s="274"/>
      <c r="G17" s="299"/>
      <c r="H17" s="274"/>
      <c r="I17" s="299"/>
      <c r="J17" s="274"/>
      <c r="K17" s="299"/>
      <c r="L17" s="274"/>
      <c r="M17" s="274"/>
      <c r="N17" s="274"/>
      <c r="O17" s="299"/>
      <c r="P17" s="274"/>
      <c r="Q17" s="299"/>
      <c r="R17" s="274"/>
      <c r="S17" s="299"/>
      <c r="T17" s="274"/>
      <c r="U17" s="299"/>
      <c r="V17" s="274"/>
      <c r="W17" s="299"/>
      <c r="X17" s="274"/>
      <c r="Y17" s="299"/>
      <c r="Z17" s="274"/>
      <c r="AA17" s="299"/>
      <c r="AB17" s="274"/>
      <c r="AC17" s="534"/>
      <c r="AD17" s="1914"/>
      <c r="AE17" s="1264"/>
      <c r="AF17" s="274"/>
      <c r="AG17" s="274"/>
      <c r="AH17" s="297"/>
      <c r="AI17" s="102"/>
      <c r="AJ17" s="297"/>
      <c r="AK17" s="41"/>
      <c r="AL17" s="384"/>
      <c r="AM17" s="1712"/>
      <c r="AN17" s="1712"/>
    </row>
    <row r="18" spans="1:40" s="301" customFormat="1">
      <c r="B18" s="360" t="s">
        <v>569</v>
      </c>
      <c r="E18" s="274">
        <v>0</v>
      </c>
      <c r="F18" s="299"/>
      <c r="G18" s="274">
        <v>0</v>
      </c>
      <c r="H18" s="299"/>
      <c r="I18" s="274">
        <v>0</v>
      </c>
      <c r="J18" s="274"/>
      <c r="K18" s="274">
        <v>0</v>
      </c>
      <c r="L18" s="274"/>
      <c r="M18" s="274">
        <v>0</v>
      </c>
      <c r="N18" s="274"/>
      <c r="O18" s="274">
        <v>0</v>
      </c>
      <c r="P18" s="274"/>
      <c r="Q18" s="274">
        <v>0</v>
      </c>
      <c r="R18" s="274"/>
      <c r="S18" s="299">
        <v>0</v>
      </c>
      <c r="T18" s="299"/>
      <c r="U18" s="299">
        <v>0</v>
      </c>
      <c r="V18" s="299"/>
      <c r="W18" s="299">
        <v>0</v>
      </c>
      <c r="X18" s="299"/>
      <c r="Y18" s="299">
        <f>$AD18-SUM($E18:W18)</f>
        <v>0</v>
      </c>
      <c r="Z18" s="299"/>
      <c r="AA18" s="299"/>
      <c r="AB18" s="274"/>
      <c r="AC18" s="534"/>
      <c r="AD18" s="542">
        <v>0</v>
      </c>
      <c r="AE18" s="274"/>
      <c r="AF18" s="535" t="s">
        <v>103</v>
      </c>
      <c r="AG18" s="542">
        <v>0</v>
      </c>
      <c r="AH18" s="297"/>
      <c r="AI18" s="1854"/>
      <c r="AJ18" s="297">
        <f>ROUND(AD18-AG18,1)</f>
        <v>0</v>
      </c>
      <c r="AK18" s="278"/>
      <c r="AL18" s="276">
        <f>ROUND(IF(AG18=0,0,AJ18/ABS(AG18)),3)</f>
        <v>0</v>
      </c>
      <c r="AM18" s="1712"/>
      <c r="AN18" s="1712"/>
    </row>
    <row r="19" spans="1:40" s="301" customFormat="1">
      <c r="B19" s="360" t="s">
        <v>394</v>
      </c>
      <c r="E19" s="299" t="s">
        <v>103</v>
      </c>
      <c r="F19" s="274"/>
      <c r="G19" s="299"/>
      <c r="H19" s="274"/>
      <c r="I19" s="299"/>
      <c r="J19" s="274"/>
      <c r="K19" s="299"/>
      <c r="L19" s="274"/>
      <c r="M19" s="299"/>
      <c r="N19" s="274"/>
      <c r="O19" s="299"/>
      <c r="P19" s="274"/>
      <c r="Q19" s="274"/>
      <c r="R19" s="274"/>
      <c r="S19" s="299"/>
      <c r="T19" s="274"/>
      <c r="U19" s="299"/>
      <c r="V19" s="274"/>
      <c r="W19" s="299"/>
      <c r="X19" s="274"/>
      <c r="Y19" s="299"/>
      <c r="Z19" s="274"/>
      <c r="AA19" s="299"/>
      <c r="AB19" s="274"/>
      <c r="AC19" s="534"/>
      <c r="AD19" s="274" t="s">
        <v>103</v>
      </c>
      <c r="AE19" s="1264"/>
      <c r="AF19" s="274"/>
      <c r="AG19" s="274" t="s">
        <v>103</v>
      </c>
      <c r="AH19" s="297"/>
      <c r="AI19" s="102"/>
      <c r="AJ19" s="297" t="s">
        <v>103</v>
      </c>
      <c r="AK19" s="278"/>
      <c r="AL19" s="384" t="s">
        <v>103</v>
      </c>
      <c r="AM19" s="1712"/>
      <c r="AN19" s="1712"/>
    </row>
    <row r="20" spans="1:40" s="301" customFormat="1">
      <c r="B20" s="360" t="s">
        <v>491</v>
      </c>
      <c r="E20" s="274">
        <v>0</v>
      </c>
      <c r="F20" s="274"/>
      <c r="G20" s="274">
        <v>0</v>
      </c>
      <c r="H20" s="274"/>
      <c r="I20" s="274">
        <v>0</v>
      </c>
      <c r="J20" s="274"/>
      <c r="K20" s="274">
        <v>0</v>
      </c>
      <c r="L20" s="274"/>
      <c r="M20" s="274">
        <v>0</v>
      </c>
      <c r="N20" s="274"/>
      <c r="O20" s="274">
        <v>0</v>
      </c>
      <c r="P20" s="274"/>
      <c r="Q20" s="274">
        <v>0</v>
      </c>
      <c r="R20" s="274"/>
      <c r="S20" s="299">
        <v>0</v>
      </c>
      <c r="T20" s="299"/>
      <c r="U20" s="299">
        <v>0</v>
      </c>
      <c r="V20" s="274"/>
      <c r="W20" s="299">
        <v>0</v>
      </c>
      <c r="X20" s="274"/>
      <c r="Y20" s="299">
        <f>$AD20-SUM($E20:W20)</f>
        <v>0</v>
      </c>
      <c r="Z20" s="274"/>
      <c r="AA20" s="299"/>
      <c r="AB20" s="274"/>
      <c r="AC20" s="534"/>
      <c r="AD20" s="542">
        <v>0</v>
      </c>
      <c r="AE20" s="274"/>
      <c r="AF20" s="535" t="s">
        <v>103</v>
      </c>
      <c r="AG20" s="542">
        <v>0</v>
      </c>
      <c r="AH20" s="297"/>
      <c r="AI20" s="102"/>
      <c r="AJ20" s="297">
        <f t="shared" ref="AJ20:AJ40" si="0">ROUND(AD20-AG20,1)</f>
        <v>0</v>
      </c>
      <c r="AK20" s="278"/>
      <c r="AL20" s="384">
        <f>ROUND(IF(AG20=0,0,AJ20/ABS(AG20)),3)</f>
        <v>0</v>
      </c>
      <c r="AM20" s="1712"/>
      <c r="AN20" s="1712"/>
    </row>
    <row r="21" spans="1:40" s="301" customFormat="1">
      <c r="B21" s="360" t="s">
        <v>399</v>
      </c>
      <c r="E21" s="274" t="s">
        <v>103</v>
      </c>
      <c r="F21" s="274"/>
      <c r="G21" s="299"/>
      <c r="H21" s="274"/>
      <c r="I21" s="299"/>
      <c r="J21" s="274"/>
      <c r="K21" s="299"/>
      <c r="L21" s="274"/>
      <c r="M21" s="299"/>
      <c r="N21" s="274"/>
      <c r="O21" s="274"/>
      <c r="P21" s="274"/>
      <c r="Q21" s="274"/>
      <c r="R21" s="274"/>
      <c r="S21" s="299"/>
      <c r="T21" s="274"/>
      <c r="U21" s="299"/>
      <c r="V21" s="274"/>
      <c r="W21" s="299"/>
      <c r="X21" s="274"/>
      <c r="Y21" s="299"/>
      <c r="Z21" s="274"/>
      <c r="AA21" s="299"/>
      <c r="AB21" s="274"/>
      <c r="AC21" s="534"/>
      <c r="AD21" s="274" t="s">
        <v>103</v>
      </c>
      <c r="AE21" s="1264"/>
      <c r="AF21" s="274"/>
      <c r="AG21" s="274" t="s">
        <v>103</v>
      </c>
      <c r="AH21" s="297"/>
      <c r="AI21" s="102"/>
      <c r="AJ21" s="297" t="s">
        <v>103</v>
      </c>
      <c r="AK21" s="278"/>
      <c r="AL21" s="384" t="s">
        <v>103</v>
      </c>
      <c r="AM21" s="1712"/>
      <c r="AN21" s="1712"/>
    </row>
    <row r="22" spans="1:40" s="301" customFormat="1">
      <c r="B22" s="360" t="s">
        <v>494</v>
      </c>
      <c r="E22" s="274">
        <v>0</v>
      </c>
      <c r="F22" s="274"/>
      <c r="G22" s="274">
        <v>0</v>
      </c>
      <c r="H22" s="274"/>
      <c r="I22" s="274">
        <v>0</v>
      </c>
      <c r="J22" s="274"/>
      <c r="K22" s="274">
        <v>0</v>
      </c>
      <c r="L22" s="274"/>
      <c r="M22" s="274">
        <v>0</v>
      </c>
      <c r="N22" s="274"/>
      <c r="O22" s="274">
        <v>0</v>
      </c>
      <c r="P22" s="274"/>
      <c r="Q22" s="274">
        <v>0</v>
      </c>
      <c r="R22" s="274"/>
      <c r="S22" s="299">
        <v>0</v>
      </c>
      <c r="T22" s="299"/>
      <c r="U22" s="299">
        <v>0</v>
      </c>
      <c r="V22" s="274"/>
      <c r="W22" s="299">
        <v>0</v>
      </c>
      <c r="X22" s="274"/>
      <c r="Y22" s="299">
        <f>$AD22-SUM($E22:W22)</f>
        <v>0</v>
      </c>
      <c r="Z22" s="274"/>
      <c r="AA22" s="299"/>
      <c r="AB22" s="274"/>
      <c r="AC22" s="534"/>
      <c r="AD22" s="542">
        <v>0</v>
      </c>
      <c r="AE22" s="274"/>
      <c r="AF22" s="535" t="s">
        <v>103</v>
      </c>
      <c r="AG22" s="542">
        <v>0</v>
      </c>
      <c r="AH22" s="297"/>
      <c r="AI22" s="102"/>
      <c r="AJ22" s="297">
        <f t="shared" si="0"/>
        <v>0</v>
      </c>
      <c r="AK22" s="278"/>
      <c r="AL22" s="384">
        <f t="shared" ref="AL22:AL27" si="1">ROUND(IF(AG22=0,0,AJ22/ABS(AG22)),3)</f>
        <v>0</v>
      </c>
      <c r="AM22" s="1712"/>
      <c r="AN22" s="1712"/>
    </row>
    <row r="23" spans="1:40" s="301" customFormat="1">
      <c r="B23" s="360" t="s">
        <v>570</v>
      </c>
      <c r="E23" s="274">
        <v>0</v>
      </c>
      <c r="F23" s="274"/>
      <c r="G23" s="274">
        <v>0</v>
      </c>
      <c r="H23" s="274"/>
      <c r="I23" s="274">
        <v>0</v>
      </c>
      <c r="J23" s="274"/>
      <c r="K23" s="274">
        <v>0</v>
      </c>
      <c r="L23" s="274"/>
      <c r="M23" s="274">
        <v>0</v>
      </c>
      <c r="N23" s="274"/>
      <c r="O23" s="274">
        <v>0</v>
      </c>
      <c r="P23" s="274"/>
      <c r="Q23" s="274">
        <v>0</v>
      </c>
      <c r="R23" s="274"/>
      <c r="S23" s="299">
        <v>0</v>
      </c>
      <c r="T23" s="299"/>
      <c r="U23" s="299">
        <v>0</v>
      </c>
      <c r="V23" s="274"/>
      <c r="W23" s="299">
        <v>0</v>
      </c>
      <c r="X23" s="274"/>
      <c r="Y23" s="299">
        <f>$AD23-SUM($E23:W23)</f>
        <v>0</v>
      </c>
      <c r="Z23" s="274"/>
      <c r="AA23" s="299"/>
      <c r="AB23" s="274"/>
      <c r="AC23" s="534"/>
      <c r="AD23" s="542">
        <v>0</v>
      </c>
      <c r="AE23" s="274"/>
      <c r="AF23" s="535" t="s">
        <v>103</v>
      </c>
      <c r="AG23" s="542">
        <v>0</v>
      </c>
      <c r="AH23" s="297"/>
      <c r="AI23" s="102"/>
      <c r="AJ23" s="297">
        <f>ROUND(AD23-AG23,1)</f>
        <v>0</v>
      </c>
      <c r="AK23" s="278"/>
      <c r="AL23" s="384">
        <f t="shared" si="1"/>
        <v>0</v>
      </c>
      <c r="AM23" s="1712"/>
      <c r="AN23" s="1712"/>
    </row>
    <row r="24" spans="1:40" s="301" customFormat="1">
      <c r="B24" s="360" t="s">
        <v>497</v>
      </c>
      <c r="E24" s="274">
        <v>0</v>
      </c>
      <c r="F24" s="274"/>
      <c r="G24" s="274">
        <v>0</v>
      </c>
      <c r="H24" s="274"/>
      <c r="I24" s="274">
        <v>0</v>
      </c>
      <c r="J24" s="274"/>
      <c r="K24" s="274">
        <v>0</v>
      </c>
      <c r="L24" s="274"/>
      <c r="M24" s="274">
        <v>0</v>
      </c>
      <c r="N24" s="274"/>
      <c r="O24" s="274">
        <v>0</v>
      </c>
      <c r="P24" s="274"/>
      <c r="Q24" s="274">
        <v>0</v>
      </c>
      <c r="R24" s="274"/>
      <c r="S24" s="299">
        <v>0</v>
      </c>
      <c r="T24" s="299"/>
      <c r="U24" s="299">
        <v>0</v>
      </c>
      <c r="V24" s="274"/>
      <c r="W24" s="299">
        <v>0</v>
      </c>
      <c r="X24" s="274"/>
      <c r="Y24" s="299">
        <f>$AD24-SUM($E24:W24)</f>
        <v>0</v>
      </c>
      <c r="Z24" s="274"/>
      <c r="AA24" s="299"/>
      <c r="AB24" s="274"/>
      <c r="AC24" s="534"/>
      <c r="AD24" s="542">
        <v>0</v>
      </c>
      <c r="AE24" s="274"/>
      <c r="AF24" s="535" t="s">
        <v>103</v>
      </c>
      <c r="AG24" s="542">
        <v>0</v>
      </c>
      <c r="AH24" s="297"/>
      <c r="AI24" s="102"/>
      <c r="AJ24" s="297">
        <f t="shared" si="0"/>
        <v>0</v>
      </c>
      <c r="AK24" s="278"/>
      <c r="AL24" s="384">
        <f t="shared" si="1"/>
        <v>0</v>
      </c>
      <c r="AM24" s="1712"/>
      <c r="AN24" s="1712"/>
    </row>
    <row r="25" spans="1:40" s="301" customFormat="1">
      <c r="B25" s="360" t="s">
        <v>498</v>
      </c>
      <c r="E25" s="274">
        <v>0</v>
      </c>
      <c r="F25" s="274"/>
      <c r="G25" s="274">
        <v>0</v>
      </c>
      <c r="H25" s="274"/>
      <c r="I25" s="274">
        <v>0</v>
      </c>
      <c r="J25" s="274"/>
      <c r="K25" s="274">
        <v>0</v>
      </c>
      <c r="L25" s="274"/>
      <c r="M25" s="274">
        <v>0</v>
      </c>
      <c r="N25" s="274"/>
      <c r="O25" s="274">
        <v>0</v>
      </c>
      <c r="P25" s="274"/>
      <c r="Q25" s="274">
        <v>0</v>
      </c>
      <c r="R25" s="274"/>
      <c r="S25" s="299">
        <v>0</v>
      </c>
      <c r="T25" s="299"/>
      <c r="U25" s="299">
        <v>0</v>
      </c>
      <c r="V25" s="274"/>
      <c r="W25" s="299">
        <v>0</v>
      </c>
      <c r="X25" s="274"/>
      <c r="Y25" s="299">
        <f>$AD25-SUM($E25:W25)</f>
        <v>0</v>
      </c>
      <c r="Z25" s="274"/>
      <c r="AA25" s="299"/>
      <c r="AB25" s="274"/>
      <c r="AC25" s="534"/>
      <c r="AD25" s="542">
        <v>0</v>
      </c>
      <c r="AE25" s="274"/>
      <c r="AF25" s="535" t="s">
        <v>103</v>
      </c>
      <c r="AG25" s="542">
        <v>0</v>
      </c>
      <c r="AH25" s="297"/>
      <c r="AI25" s="102"/>
      <c r="AJ25" s="297">
        <f t="shared" si="0"/>
        <v>0</v>
      </c>
      <c r="AK25" s="278"/>
      <c r="AL25" s="384">
        <f t="shared" si="1"/>
        <v>0</v>
      </c>
      <c r="AM25" s="1712"/>
      <c r="AN25" s="1712"/>
    </row>
    <row r="26" spans="1:40" s="301" customFormat="1">
      <c r="B26" s="360" t="s">
        <v>407</v>
      </c>
      <c r="E26" s="274">
        <v>0</v>
      </c>
      <c r="F26" s="274"/>
      <c r="G26" s="274">
        <v>0</v>
      </c>
      <c r="H26" s="274"/>
      <c r="I26" s="274">
        <v>0</v>
      </c>
      <c r="J26" s="274"/>
      <c r="K26" s="274">
        <v>0</v>
      </c>
      <c r="L26" s="274"/>
      <c r="M26" s="274">
        <v>0</v>
      </c>
      <c r="N26" s="274"/>
      <c r="O26" s="274">
        <v>0</v>
      </c>
      <c r="P26" s="274"/>
      <c r="Q26" s="274">
        <v>0</v>
      </c>
      <c r="R26" s="274"/>
      <c r="S26" s="299">
        <v>0</v>
      </c>
      <c r="T26" s="299"/>
      <c r="U26" s="299">
        <v>0</v>
      </c>
      <c r="V26" s="274"/>
      <c r="W26" s="299">
        <v>0</v>
      </c>
      <c r="X26" s="274"/>
      <c r="Y26" s="299">
        <f>$AD26-SUM($E26:W26)</f>
        <v>0</v>
      </c>
      <c r="Z26" s="274"/>
      <c r="AA26" s="299"/>
      <c r="AB26" s="274"/>
      <c r="AC26" s="534"/>
      <c r="AD26" s="542">
        <v>0</v>
      </c>
      <c r="AE26" s="1264"/>
      <c r="AF26" s="274" t="s">
        <v>103</v>
      </c>
      <c r="AG26" s="542">
        <v>0</v>
      </c>
      <c r="AH26" s="297"/>
      <c r="AI26" s="102"/>
      <c r="AJ26" s="297">
        <f t="shared" si="0"/>
        <v>0</v>
      </c>
      <c r="AK26" s="278"/>
      <c r="AL26" s="384">
        <f t="shared" si="1"/>
        <v>0</v>
      </c>
      <c r="AM26" s="1712"/>
      <c r="AN26" s="1712"/>
    </row>
    <row r="27" spans="1:40" s="301" customFormat="1">
      <c r="B27" s="360" t="s">
        <v>413</v>
      </c>
      <c r="E27" s="274">
        <v>0</v>
      </c>
      <c r="F27" s="274"/>
      <c r="G27" s="274">
        <v>0</v>
      </c>
      <c r="H27" s="274"/>
      <c r="I27" s="274">
        <v>0</v>
      </c>
      <c r="J27" s="274"/>
      <c r="K27" s="274">
        <v>0</v>
      </c>
      <c r="L27" s="274"/>
      <c r="M27" s="274">
        <v>0</v>
      </c>
      <c r="N27" s="274"/>
      <c r="O27" s="274">
        <v>0</v>
      </c>
      <c r="P27" s="274"/>
      <c r="Q27" s="274">
        <v>0</v>
      </c>
      <c r="R27" s="274"/>
      <c r="S27" s="299">
        <v>0</v>
      </c>
      <c r="T27" s="299"/>
      <c r="U27" s="299">
        <v>0</v>
      </c>
      <c r="V27" s="274"/>
      <c r="W27" s="299">
        <v>0</v>
      </c>
      <c r="X27" s="274"/>
      <c r="Y27" s="299">
        <f>$AD27-SUM($E27:W27)</f>
        <v>0</v>
      </c>
      <c r="Z27" s="274"/>
      <c r="AA27" s="299"/>
      <c r="AB27" s="274"/>
      <c r="AC27" s="534"/>
      <c r="AD27" s="542">
        <v>0</v>
      </c>
      <c r="AE27" s="1264"/>
      <c r="AF27" s="274" t="s">
        <v>103</v>
      </c>
      <c r="AG27" s="542">
        <v>0</v>
      </c>
      <c r="AH27" s="297"/>
      <c r="AI27" s="102"/>
      <c r="AJ27" s="297">
        <f t="shared" si="0"/>
        <v>0</v>
      </c>
      <c r="AK27" s="278"/>
      <c r="AL27" s="384">
        <f t="shared" si="1"/>
        <v>0</v>
      </c>
      <c r="AM27" s="1712"/>
      <c r="AN27" s="1712"/>
    </row>
    <row r="28" spans="1:40">
      <c r="A28" s="301"/>
      <c r="B28" s="360" t="s">
        <v>414</v>
      </c>
      <c r="C28" s="301"/>
      <c r="D28" s="301"/>
      <c r="E28" s="274">
        <v>0</v>
      </c>
      <c r="F28" s="274"/>
      <c r="G28" s="274">
        <v>0</v>
      </c>
      <c r="H28" s="274"/>
      <c r="I28" s="274">
        <v>0</v>
      </c>
      <c r="J28" s="274"/>
      <c r="K28" s="274">
        <v>0</v>
      </c>
      <c r="L28" s="274"/>
      <c r="M28" s="274">
        <v>0</v>
      </c>
      <c r="N28" s="274"/>
      <c r="O28" s="274">
        <v>0</v>
      </c>
      <c r="P28" s="274"/>
      <c r="Q28" s="274">
        <v>0</v>
      </c>
      <c r="R28" s="274"/>
      <c r="S28" s="299">
        <v>0</v>
      </c>
      <c r="T28" s="299"/>
      <c r="U28" s="299">
        <v>0</v>
      </c>
      <c r="V28" s="274"/>
      <c r="W28" s="299">
        <v>0</v>
      </c>
      <c r="X28" s="274"/>
      <c r="Y28" s="299">
        <f>$AD28-SUM($E28:W28)</f>
        <v>0</v>
      </c>
      <c r="Z28" s="274"/>
      <c r="AA28" s="299"/>
      <c r="AB28" s="274"/>
      <c r="AC28" s="534"/>
      <c r="AD28" s="542">
        <v>0</v>
      </c>
      <c r="AE28" s="274"/>
      <c r="AF28" s="535" t="s">
        <v>103</v>
      </c>
      <c r="AG28" s="542">
        <v>0</v>
      </c>
      <c r="AH28" s="297"/>
      <c r="AI28" s="102"/>
      <c r="AJ28" s="297">
        <f>ROUND(AD28-AG28,1)</f>
        <v>0</v>
      </c>
      <c r="AK28" s="41"/>
      <c r="AL28" s="384">
        <f>ROUND(IF(AG28=0,0,AJ28/ABS(AG28)),3)</f>
        <v>0</v>
      </c>
      <c r="AM28" s="1712"/>
      <c r="AN28" s="1712"/>
    </row>
    <row r="29" spans="1:40" s="301" customFormat="1">
      <c r="B29" s="360" t="s">
        <v>415</v>
      </c>
      <c r="E29" s="274" t="s">
        <v>103</v>
      </c>
      <c r="F29" s="274"/>
      <c r="G29" s="274"/>
      <c r="H29" s="274"/>
      <c r="I29" s="299"/>
      <c r="J29" s="274"/>
      <c r="K29" s="274"/>
      <c r="L29" s="274"/>
      <c r="M29" s="299"/>
      <c r="N29" s="274"/>
      <c r="O29" s="274"/>
      <c r="P29" s="274"/>
      <c r="Q29" s="274"/>
      <c r="R29" s="274"/>
      <c r="S29" s="299"/>
      <c r="T29" s="274"/>
      <c r="U29" s="299"/>
      <c r="V29" s="274"/>
      <c r="W29" s="299"/>
      <c r="X29" s="274"/>
      <c r="Y29" s="299"/>
      <c r="Z29" s="274"/>
      <c r="AA29" s="299"/>
      <c r="AB29" s="274"/>
      <c r="AC29" s="534"/>
      <c r="AD29" s="299" t="s">
        <v>103</v>
      </c>
      <c r="AE29" s="1264"/>
      <c r="AF29" s="274"/>
      <c r="AG29" s="299" t="s">
        <v>103</v>
      </c>
      <c r="AH29" s="297"/>
      <c r="AI29" s="102"/>
      <c r="AJ29" s="297" t="s">
        <v>103</v>
      </c>
      <c r="AK29" s="278"/>
      <c r="AL29" s="384" t="s">
        <v>103</v>
      </c>
      <c r="AM29" s="1712"/>
      <c r="AN29" s="1712"/>
    </row>
    <row r="30" spans="1:40" s="301" customFormat="1">
      <c r="B30" s="360" t="s">
        <v>502</v>
      </c>
      <c r="E30" s="274">
        <v>0</v>
      </c>
      <c r="F30" s="274"/>
      <c r="G30" s="274">
        <v>0</v>
      </c>
      <c r="H30" s="274"/>
      <c r="I30" s="274">
        <v>0</v>
      </c>
      <c r="J30" s="274"/>
      <c r="K30" s="274">
        <v>0</v>
      </c>
      <c r="L30" s="274"/>
      <c r="M30" s="274">
        <v>0</v>
      </c>
      <c r="N30" s="274"/>
      <c r="O30" s="274">
        <v>0</v>
      </c>
      <c r="P30" s="274"/>
      <c r="Q30" s="274">
        <v>0</v>
      </c>
      <c r="R30" s="274"/>
      <c r="S30" s="299">
        <v>0</v>
      </c>
      <c r="T30" s="299"/>
      <c r="U30" s="299">
        <v>0</v>
      </c>
      <c r="V30" s="274"/>
      <c r="W30" s="299">
        <v>0</v>
      </c>
      <c r="X30" s="274"/>
      <c r="Y30" s="299">
        <f>$AD30-SUM($E30:W30)</f>
        <v>0</v>
      </c>
      <c r="Z30" s="274"/>
      <c r="AA30" s="299"/>
      <c r="AB30" s="274"/>
      <c r="AC30" s="534"/>
      <c r="AD30" s="542">
        <v>0</v>
      </c>
      <c r="AE30" s="274"/>
      <c r="AF30" s="535"/>
      <c r="AG30" s="542">
        <v>0</v>
      </c>
      <c r="AH30" s="297"/>
      <c r="AI30" s="102"/>
      <c r="AJ30" s="297">
        <f t="shared" si="0"/>
        <v>0</v>
      </c>
      <c r="AK30" s="278"/>
      <c r="AL30" s="384">
        <f>ROUND(IF(AG30=0,0,AJ30/ABS(AG30)),3)</f>
        <v>0</v>
      </c>
      <c r="AM30" s="1712"/>
      <c r="AN30" s="1712"/>
    </row>
    <row r="31" spans="1:40" s="301" customFormat="1">
      <c r="B31" s="360" t="s">
        <v>504</v>
      </c>
      <c r="E31" s="274">
        <v>0</v>
      </c>
      <c r="F31" s="299"/>
      <c r="G31" s="274">
        <v>0</v>
      </c>
      <c r="H31" s="299"/>
      <c r="I31" s="274">
        <v>0</v>
      </c>
      <c r="J31" s="299"/>
      <c r="K31" s="274">
        <v>0</v>
      </c>
      <c r="L31" s="299"/>
      <c r="M31" s="274">
        <v>0</v>
      </c>
      <c r="N31" s="274"/>
      <c r="O31" s="274">
        <v>0</v>
      </c>
      <c r="P31" s="274"/>
      <c r="Q31" s="274">
        <v>0</v>
      </c>
      <c r="R31" s="274"/>
      <c r="S31" s="299">
        <v>0</v>
      </c>
      <c r="T31" s="299"/>
      <c r="U31" s="299">
        <v>0</v>
      </c>
      <c r="V31" s="274"/>
      <c r="W31" s="299">
        <v>0</v>
      </c>
      <c r="X31" s="274"/>
      <c r="Y31" s="299">
        <f>$AD31-SUM($E31:W31)</f>
        <v>0</v>
      </c>
      <c r="Z31" s="274"/>
      <c r="AA31" s="299"/>
      <c r="AB31" s="274"/>
      <c r="AC31" s="534"/>
      <c r="AD31" s="542">
        <v>0</v>
      </c>
      <c r="AE31" s="274"/>
      <c r="AF31" s="535" t="s">
        <v>103</v>
      </c>
      <c r="AG31" s="542">
        <v>0</v>
      </c>
      <c r="AH31" s="297"/>
      <c r="AI31" s="102"/>
      <c r="AJ31" s="297">
        <f t="shared" si="0"/>
        <v>0</v>
      </c>
      <c r="AK31" s="278"/>
      <c r="AL31" s="384">
        <f>ROUND(IF(AG31=0,0,AJ31/ABS(AG31)),3)</f>
        <v>0</v>
      </c>
      <c r="AM31" s="1712"/>
      <c r="AN31" s="1712"/>
    </row>
    <row r="32" spans="1:40" s="301" customFormat="1">
      <c r="B32" s="360" t="s">
        <v>505</v>
      </c>
      <c r="E32" s="274">
        <v>0</v>
      </c>
      <c r="F32" s="274"/>
      <c r="G32" s="274">
        <v>0</v>
      </c>
      <c r="H32" s="274"/>
      <c r="I32" s="274">
        <v>0</v>
      </c>
      <c r="J32" s="274"/>
      <c r="K32" s="274">
        <v>0</v>
      </c>
      <c r="L32" s="274"/>
      <c r="M32" s="274">
        <v>0</v>
      </c>
      <c r="N32" s="274"/>
      <c r="O32" s="274">
        <v>0</v>
      </c>
      <c r="P32" s="274"/>
      <c r="Q32" s="274">
        <v>0</v>
      </c>
      <c r="R32" s="274"/>
      <c r="S32" s="299">
        <v>0</v>
      </c>
      <c r="T32" s="299"/>
      <c r="U32" s="299">
        <v>0</v>
      </c>
      <c r="V32" s="274"/>
      <c r="W32" s="299">
        <v>0</v>
      </c>
      <c r="X32" s="274"/>
      <c r="Y32" s="299">
        <f>$AD32-SUM($E32:W32)</f>
        <v>0</v>
      </c>
      <c r="Z32" s="274"/>
      <c r="AA32" s="299"/>
      <c r="AB32" s="274"/>
      <c r="AC32" s="534"/>
      <c r="AD32" s="542">
        <v>0</v>
      </c>
      <c r="AE32" s="274"/>
      <c r="AF32" s="535" t="s">
        <v>103</v>
      </c>
      <c r="AG32" s="542">
        <v>0</v>
      </c>
      <c r="AH32" s="297"/>
      <c r="AI32" s="102"/>
      <c r="AJ32" s="297">
        <f>ROUND(AD32-AG32,1)</f>
        <v>0</v>
      </c>
      <c r="AK32" s="278"/>
      <c r="AL32" s="384">
        <f>ROUND(IF(AG32=0,0,AJ32/ABS(AG32)),3)</f>
        <v>0</v>
      </c>
      <c r="AM32" s="1712"/>
      <c r="AN32" s="1712"/>
    </row>
    <row r="33" spans="1:40">
      <c r="A33" s="301"/>
      <c r="B33" s="360" t="s">
        <v>420</v>
      </c>
      <c r="C33" s="301"/>
      <c r="D33" s="301"/>
      <c r="E33" s="274">
        <v>0</v>
      </c>
      <c r="F33" s="274"/>
      <c r="G33" s="274">
        <v>0</v>
      </c>
      <c r="H33" s="274"/>
      <c r="I33" s="274">
        <v>0</v>
      </c>
      <c r="J33" s="274"/>
      <c r="K33" s="274">
        <v>0</v>
      </c>
      <c r="L33" s="274"/>
      <c r="M33" s="274">
        <v>0</v>
      </c>
      <c r="N33" s="274"/>
      <c r="O33" s="274">
        <v>0</v>
      </c>
      <c r="P33" s="274"/>
      <c r="Q33" s="274">
        <v>0</v>
      </c>
      <c r="R33" s="274"/>
      <c r="S33" s="299">
        <v>0</v>
      </c>
      <c r="T33" s="299"/>
      <c r="U33" s="299">
        <v>0</v>
      </c>
      <c r="V33" s="274"/>
      <c r="W33" s="299">
        <v>0</v>
      </c>
      <c r="X33" s="274"/>
      <c r="Y33" s="299">
        <f>$AD33-SUM($E33:W33)</f>
        <v>0</v>
      </c>
      <c r="Z33" s="274"/>
      <c r="AA33" s="299"/>
      <c r="AB33" s="274"/>
      <c r="AC33" s="534"/>
      <c r="AD33" s="542">
        <v>0</v>
      </c>
      <c r="AE33" s="274"/>
      <c r="AF33" s="535" t="s">
        <v>103</v>
      </c>
      <c r="AG33" s="542">
        <v>0</v>
      </c>
      <c r="AH33" s="297"/>
      <c r="AI33" s="102"/>
      <c r="AJ33" s="297">
        <f t="shared" si="0"/>
        <v>0</v>
      </c>
      <c r="AK33" s="41"/>
      <c r="AL33" s="276">
        <f>ROUND(IF(AG33=0,0,AJ33/ABS(AG33)),3)</f>
        <v>0</v>
      </c>
      <c r="AM33" s="1712"/>
      <c r="AN33" s="1712"/>
    </row>
    <row r="34" spans="1:40">
      <c r="A34" s="301"/>
      <c r="B34" s="360" t="s">
        <v>421</v>
      </c>
      <c r="C34" s="301"/>
      <c r="D34" s="301"/>
      <c r="E34" s="274" t="s">
        <v>103</v>
      </c>
      <c r="F34" s="274"/>
      <c r="G34" s="274"/>
      <c r="H34" s="274"/>
      <c r="I34" s="299"/>
      <c r="J34" s="274"/>
      <c r="K34" s="274"/>
      <c r="L34" s="274"/>
      <c r="M34" s="299"/>
      <c r="N34" s="274"/>
      <c r="O34" s="274"/>
      <c r="P34" s="274"/>
      <c r="Q34" s="274"/>
      <c r="R34" s="274"/>
      <c r="S34" s="299"/>
      <c r="T34" s="274"/>
      <c r="U34" s="299"/>
      <c r="V34" s="274"/>
      <c r="W34" s="299"/>
      <c r="X34" s="274"/>
      <c r="Y34" s="299"/>
      <c r="Z34" s="274"/>
      <c r="AA34" s="299"/>
      <c r="AB34" s="274"/>
      <c r="AC34" s="534"/>
      <c r="AD34" s="274" t="s">
        <v>103</v>
      </c>
      <c r="AE34" s="1264"/>
      <c r="AF34" s="274"/>
      <c r="AG34" s="274" t="s">
        <v>103</v>
      </c>
      <c r="AH34" s="297"/>
      <c r="AI34" s="102"/>
      <c r="AJ34" s="297" t="s">
        <v>103</v>
      </c>
      <c r="AK34" s="41"/>
      <c r="AL34" s="384" t="s">
        <v>103</v>
      </c>
      <c r="AM34" s="1712"/>
      <c r="AN34" s="1712"/>
    </row>
    <row r="35" spans="1:40">
      <c r="A35" s="301"/>
      <c r="B35" s="360" t="s">
        <v>506</v>
      </c>
      <c r="C35" s="301"/>
      <c r="D35" s="301"/>
      <c r="E35" s="274">
        <v>0</v>
      </c>
      <c r="F35" s="274"/>
      <c r="G35" s="274">
        <v>0</v>
      </c>
      <c r="H35" s="274"/>
      <c r="I35" s="274">
        <v>0</v>
      </c>
      <c r="J35" s="274"/>
      <c r="K35" s="274">
        <v>0</v>
      </c>
      <c r="L35" s="274"/>
      <c r="M35" s="274">
        <v>0</v>
      </c>
      <c r="N35" s="274"/>
      <c r="O35" s="274">
        <v>0</v>
      </c>
      <c r="P35" s="274"/>
      <c r="Q35" s="274">
        <v>0</v>
      </c>
      <c r="R35" s="274"/>
      <c r="S35" s="299">
        <v>0</v>
      </c>
      <c r="T35" s="299"/>
      <c r="U35" s="299">
        <v>0</v>
      </c>
      <c r="V35" s="274"/>
      <c r="W35" s="299">
        <v>0</v>
      </c>
      <c r="X35" s="274"/>
      <c r="Y35" s="299">
        <f>$AD35-SUM($E35:W35)</f>
        <v>0</v>
      </c>
      <c r="Z35" s="274"/>
      <c r="AA35" s="299"/>
      <c r="AB35" s="274"/>
      <c r="AC35" s="534"/>
      <c r="AD35" s="542">
        <v>0</v>
      </c>
      <c r="AE35" s="274"/>
      <c r="AF35" s="535" t="s">
        <v>103</v>
      </c>
      <c r="AG35" s="542">
        <v>0</v>
      </c>
      <c r="AH35" s="297"/>
      <c r="AI35" s="102"/>
      <c r="AJ35" s="297">
        <f t="shared" si="0"/>
        <v>0</v>
      </c>
      <c r="AK35" s="41"/>
      <c r="AL35" s="384">
        <f t="shared" ref="AL35:AL39" si="2">ROUND(IF(AG35=0,0,AJ35/ABS(AG35)),3)</f>
        <v>0</v>
      </c>
      <c r="AM35" s="1712"/>
      <c r="AN35" s="1712"/>
    </row>
    <row r="36" spans="1:40">
      <c r="A36" s="301"/>
      <c r="B36" s="360" t="s">
        <v>508</v>
      </c>
      <c r="C36" s="301"/>
      <c r="D36" s="301"/>
      <c r="E36" s="274">
        <v>0</v>
      </c>
      <c r="F36" s="274"/>
      <c r="G36" s="274">
        <v>0</v>
      </c>
      <c r="H36" s="274"/>
      <c r="I36" s="274">
        <v>0</v>
      </c>
      <c r="J36" s="274"/>
      <c r="K36" s="274">
        <v>0</v>
      </c>
      <c r="L36" s="274"/>
      <c r="M36" s="274">
        <v>0</v>
      </c>
      <c r="N36" s="274"/>
      <c r="O36" s="274">
        <v>0</v>
      </c>
      <c r="P36" s="274"/>
      <c r="Q36" s="274">
        <v>0</v>
      </c>
      <c r="R36" s="274"/>
      <c r="S36" s="299">
        <v>0</v>
      </c>
      <c r="T36" s="299"/>
      <c r="U36" s="299">
        <v>0</v>
      </c>
      <c r="V36" s="274"/>
      <c r="W36" s="299">
        <v>0</v>
      </c>
      <c r="X36" s="274"/>
      <c r="Y36" s="299">
        <f>$AD36-SUM($E36:W36)</f>
        <v>0</v>
      </c>
      <c r="Z36" s="274"/>
      <c r="AA36" s="299"/>
      <c r="AB36" s="274"/>
      <c r="AC36" s="534"/>
      <c r="AD36" s="542">
        <v>0</v>
      </c>
      <c r="AE36" s="274"/>
      <c r="AF36" s="535" t="s">
        <v>103</v>
      </c>
      <c r="AG36" s="542">
        <v>0</v>
      </c>
      <c r="AH36" s="297"/>
      <c r="AI36" s="102"/>
      <c r="AJ36" s="297">
        <f t="shared" si="0"/>
        <v>0</v>
      </c>
      <c r="AK36" s="41"/>
      <c r="AL36" s="384">
        <f t="shared" si="2"/>
        <v>0</v>
      </c>
      <c r="AM36" s="1712"/>
      <c r="AN36" s="1712"/>
    </row>
    <row r="37" spans="1:40">
      <c r="A37" s="301"/>
      <c r="B37" s="360" t="s">
        <v>509</v>
      </c>
      <c r="C37" s="301"/>
      <c r="D37" s="301"/>
      <c r="E37" s="274">
        <v>0</v>
      </c>
      <c r="F37" s="274"/>
      <c r="G37" s="274">
        <v>0</v>
      </c>
      <c r="H37" s="274"/>
      <c r="I37" s="274">
        <v>0</v>
      </c>
      <c r="J37" s="274"/>
      <c r="K37" s="274">
        <v>0</v>
      </c>
      <c r="L37" s="274"/>
      <c r="M37" s="274">
        <v>0</v>
      </c>
      <c r="N37" s="274"/>
      <c r="O37" s="274">
        <v>0</v>
      </c>
      <c r="P37" s="274"/>
      <c r="Q37" s="274">
        <v>0</v>
      </c>
      <c r="R37" s="274"/>
      <c r="S37" s="299">
        <v>0</v>
      </c>
      <c r="T37" s="299"/>
      <c r="U37" s="299">
        <v>0</v>
      </c>
      <c r="V37" s="274"/>
      <c r="W37" s="299">
        <v>0</v>
      </c>
      <c r="X37" s="274"/>
      <c r="Y37" s="299">
        <f>$AD37-SUM($E37:W37)</f>
        <v>0</v>
      </c>
      <c r="Z37" s="274"/>
      <c r="AA37" s="299"/>
      <c r="AB37" s="274"/>
      <c r="AC37" s="534"/>
      <c r="AD37" s="542">
        <v>0</v>
      </c>
      <c r="AE37" s="274"/>
      <c r="AF37" s="535" t="s">
        <v>103</v>
      </c>
      <c r="AG37" s="542">
        <v>0</v>
      </c>
      <c r="AH37" s="297"/>
      <c r="AI37" s="102"/>
      <c r="AJ37" s="297">
        <f t="shared" si="0"/>
        <v>0</v>
      </c>
      <c r="AK37" s="41"/>
      <c r="AL37" s="384">
        <f>ROUND(IF(AG37=0,0,AJ37/ABS(AG37)),3)</f>
        <v>0</v>
      </c>
      <c r="AM37" s="1712"/>
      <c r="AN37" s="1712"/>
    </row>
    <row r="38" spans="1:40">
      <c r="A38" s="301"/>
      <c r="B38" s="360" t="s">
        <v>512</v>
      </c>
      <c r="C38" s="301"/>
      <c r="D38" s="301"/>
      <c r="E38" s="274">
        <v>0</v>
      </c>
      <c r="F38" s="274"/>
      <c r="G38" s="274">
        <v>0</v>
      </c>
      <c r="H38" s="274"/>
      <c r="I38" s="274">
        <v>0</v>
      </c>
      <c r="J38" s="274"/>
      <c r="K38" s="274">
        <v>0</v>
      </c>
      <c r="L38" s="274"/>
      <c r="M38" s="274">
        <v>0</v>
      </c>
      <c r="N38" s="274"/>
      <c r="O38" s="274">
        <v>0</v>
      </c>
      <c r="P38" s="274"/>
      <c r="Q38" s="274">
        <v>0</v>
      </c>
      <c r="R38" s="274"/>
      <c r="S38" s="299">
        <v>0</v>
      </c>
      <c r="T38" s="299"/>
      <c r="U38" s="299">
        <v>0</v>
      </c>
      <c r="V38" s="274"/>
      <c r="W38" s="299">
        <v>0</v>
      </c>
      <c r="X38" s="274"/>
      <c r="Y38" s="299">
        <f>$AD38-SUM($E38:W38)</f>
        <v>0</v>
      </c>
      <c r="Z38" s="274"/>
      <c r="AA38" s="299"/>
      <c r="AB38" s="274"/>
      <c r="AC38" s="534"/>
      <c r="AD38" s="542">
        <v>0</v>
      </c>
      <c r="AE38" s="274"/>
      <c r="AF38" s="535" t="s">
        <v>103</v>
      </c>
      <c r="AG38" s="542">
        <v>0</v>
      </c>
      <c r="AH38" s="297"/>
      <c r="AI38" s="102"/>
      <c r="AJ38" s="297">
        <f t="shared" si="0"/>
        <v>0</v>
      </c>
      <c r="AK38" s="41"/>
      <c r="AL38" s="384">
        <f t="shared" si="2"/>
        <v>0</v>
      </c>
      <c r="AM38" s="1712"/>
      <c r="AN38" s="1712"/>
    </row>
    <row r="39" spans="1:40">
      <c r="A39" s="301"/>
      <c r="B39" s="360" t="s">
        <v>513</v>
      </c>
      <c r="C39" s="301"/>
      <c r="D39" s="301"/>
      <c r="E39" s="274">
        <v>0</v>
      </c>
      <c r="F39" s="274"/>
      <c r="G39" s="274">
        <v>0</v>
      </c>
      <c r="H39" s="274"/>
      <c r="I39" s="274">
        <v>0</v>
      </c>
      <c r="J39" s="274"/>
      <c r="K39" s="274">
        <v>0</v>
      </c>
      <c r="L39" s="274"/>
      <c r="M39" s="274">
        <v>0</v>
      </c>
      <c r="N39" s="274"/>
      <c r="O39" s="274">
        <v>0</v>
      </c>
      <c r="P39" s="274"/>
      <c r="Q39" s="274">
        <v>0</v>
      </c>
      <c r="R39" s="274"/>
      <c r="S39" s="299">
        <v>0</v>
      </c>
      <c r="T39" s="299"/>
      <c r="U39" s="299">
        <v>0</v>
      </c>
      <c r="V39" s="274"/>
      <c r="W39" s="299">
        <v>0</v>
      </c>
      <c r="X39" s="274"/>
      <c r="Y39" s="299">
        <f>$AD39-SUM($E39:W39)</f>
        <v>0</v>
      </c>
      <c r="Z39" s="274"/>
      <c r="AA39" s="299"/>
      <c r="AB39" s="274"/>
      <c r="AC39" s="534"/>
      <c r="AD39" s="542">
        <v>0</v>
      </c>
      <c r="AE39" s="274"/>
      <c r="AF39" s="535" t="s">
        <v>103</v>
      </c>
      <c r="AG39" s="542">
        <v>0</v>
      </c>
      <c r="AH39" s="297"/>
      <c r="AI39" s="102"/>
      <c r="AJ39" s="297">
        <f t="shared" si="0"/>
        <v>0</v>
      </c>
      <c r="AK39" s="41"/>
      <c r="AL39" s="384">
        <f t="shared" si="2"/>
        <v>0</v>
      </c>
      <c r="AM39" s="1712"/>
      <c r="AN39" s="1712"/>
    </row>
    <row r="40" spans="1:40">
      <c r="A40" s="301"/>
      <c r="B40" s="360" t="s">
        <v>432</v>
      </c>
      <c r="C40" s="301"/>
      <c r="D40" s="301"/>
      <c r="E40" s="274">
        <v>0</v>
      </c>
      <c r="F40" s="274"/>
      <c r="G40" s="274">
        <v>0</v>
      </c>
      <c r="H40" s="274"/>
      <c r="I40" s="274">
        <v>0.1</v>
      </c>
      <c r="J40" s="274"/>
      <c r="K40" s="274">
        <v>0</v>
      </c>
      <c r="L40" s="274"/>
      <c r="M40" s="274">
        <v>0</v>
      </c>
      <c r="N40" s="564" t="s">
        <v>103</v>
      </c>
      <c r="O40" s="274">
        <v>0</v>
      </c>
      <c r="P40" s="564" t="s">
        <v>103</v>
      </c>
      <c r="Q40" s="274">
        <v>0</v>
      </c>
      <c r="R40" s="564" t="s">
        <v>103</v>
      </c>
      <c r="S40" s="299">
        <v>0.20000000000000004</v>
      </c>
      <c r="T40" s="564" t="s">
        <v>103</v>
      </c>
      <c r="U40" s="299">
        <v>-0.10000000000000003</v>
      </c>
      <c r="V40" s="564"/>
      <c r="W40" s="299">
        <v>0</v>
      </c>
      <c r="X40" s="564"/>
      <c r="Y40" s="299">
        <f>$AD40-SUM($E40:W40)</f>
        <v>0</v>
      </c>
      <c r="Z40" s="564"/>
      <c r="AA40" s="299" t="s">
        <v>103</v>
      </c>
      <c r="AB40" s="274"/>
      <c r="AC40" s="534"/>
      <c r="AD40" s="542">
        <v>0.2</v>
      </c>
      <c r="AE40" s="274"/>
      <c r="AF40" s="535" t="s">
        <v>103</v>
      </c>
      <c r="AG40" s="542">
        <v>0</v>
      </c>
      <c r="AH40" s="297"/>
      <c r="AI40" s="102"/>
      <c r="AJ40" s="297">
        <f t="shared" si="0"/>
        <v>0.2</v>
      </c>
      <c r="AK40" s="41"/>
      <c r="AL40" s="276">
        <f>ROUND(IF(AG40=0,1,AJ40/ABS(AG40)),3)</f>
        <v>1</v>
      </c>
      <c r="AM40" s="1712"/>
      <c r="AN40" s="1712"/>
    </row>
    <row r="41" spans="1:40" s="3" customFormat="1" collapsed="1">
      <c r="B41" s="88" t="s">
        <v>434</v>
      </c>
      <c r="E41" s="72">
        <f>ROUND(SUM(E18:E40),1)</f>
        <v>0</v>
      </c>
      <c r="F41" s="13"/>
      <c r="G41" s="72">
        <f>ROUND(SUM(G18:G40),1)</f>
        <v>0</v>
      </c>
      <c r="H41" s="404"/>
      <c r="I41" s="72">
        <f>ROUND(SUM(I18:I40),1)</f>
        <v>0.1</v>
      </c>
      <c r="J41" s="13"/>
      <c r="K41" s="72">
        <f>ROUND(SUM(K18:K40),1)</f>
        <v>0</v>
      </c>
      <c r="L41" s="13"/>
      <c r="M41" s="72">
        <f>ROUND(SUM(M18:M40),1)</f>
        <v>0</v>
      </c>
      <c r="N41" s="13"/>
      <c r="O41" s="72">
        <f>ROUND(SUM(O18:O40),1)</f>
        <v>0</v>
      </c>
      <c r="P41" s="13"/>
      <c r="Q41" s="72">
        <f>ROUND(SUM(Q18:Q40),1)</f>
        <v>0</v>
      </c>
      <c r="R41" s="13"/>
      <c r="S41" s="72">
        <f>ROUND(SUM(S18:S40),1)</f>
        <v>0.2</v>
      </c>
      <c r="T41" s="13"/>
      <c r="U41" s="72">
        <f>ROUND(SUM(U18:U40),1)</f>
        <v>-0.1</v>
      </c>
      <c r="V41" s="13"/>
      <c r="W41" s="72">
        <f>ROUND(SUM(W18:W40),1)</f>
        <v>0</v>
      </c>
      <c r="X41" s="13"/>
      <c r="Y41" s="72">
        <f>ROUND(SUM(Y18:Y40),1)</f>
        <v>0</v>
      </c>
      <c r="Z41" s="13"/>
      <c r="AA41" s="72">
        <f>ROUND(SUM(AA18:AA40),1)</f>
        <v>0</v>
      </c>
      <c r="AB41" s="13"/>
      <c r="AC41" s="14"/>
      <c r="AD41" s="72">
        <f>ROUND(SUM(AD18:AD40),1)</f>
        <v>0.2</v>
      </c>
      <c r="AE41" s="1266"/>
      <c r="AF41" s="13"/>
      <c r="AG41" s="72">
        <f>ROUND(SUM(AG18:AG40),1)</f>
        <v>0</v>
      </c>
      <c r="AH41" s="18"/>
      <c r="AI41" s="102"/>
      <c r="AJ41" s="72">
        <f>ROUND(SUM(AJ18:AJ40),1)</f>
        <v>0.2</v>
      </c>
      <c r="AK41" s="40"/>
      <c r="AL41" s="1102">
        <f>ROUND(IF(AG41=0,1,AJ41/ABS(AG41)),3)</f>
        <v>1</v>
      </c>
      <c r="AM41" s="1810"/>
      <c r="AN41" s="1810"/>
    </row>
    <row r="42" spans="1:40" s="12" customFormat="1">
      <c r="A42" s="274"/>
      <c r="B42" s="1103"/>
      <c r="C42" s="274"/>
      <c r="D42" s="274"/>
      <c r="E42" s="299"/>
      <c r="F42" s="274"/>
      <c r="G42" s="285"/>
      <c r="H42" s="274"/>
      <c r="I42" s="299"/>
      <c r="J42" s="274"/>
      <c r="K42" s="285"/>
      <c r="L42" s="274"/>
      <c r="M42" s="299"/>
      <c r="N42" s="274"/>
      <c r="O42" s="298"/>
      <c r="P42" s="274"/>
      <c r="Q42" s="299"/>
      <c r="R42" s="274"/>
      <c r="S42" s="298"/>
      <c r="T42" s="274"/>
      <c r="U42" s="298"/>
      <c r="V42" s="274"/>
      <c r="W42" s="299"/>
      <c r="X42" s="274"/>
      <c r="Y42" s="299"/>
      <c r="Z42" s="274"/>
      <c r="AA42" s="299"/>
      <c r="AB42" s="274"/>
      <c r="AC42" s="534"/>
      <c r="AD42" s="299"/>
      <c r="AE42" s="1264"/>
      <c r="AF42" s="534"/>
      <c r="AG42" s="299"/>
      <c r="AH42" s="297"/>
      <c r="AI42" s="102"/>
      <c r="AL42" s="101"/>
      <c r="AM42" s="1712"/>
      <c r="AN42" s="1712"/>
    </row>
    <row r="43" spans="1:40">
      <c r="A43" s="301"/>
      <c r="B43" s="301" t="s">
        <v>515</v>
      </c>
      <c r="C43" s="301"/>
      <c r="D43" s="301"/>
      <c r="E43" s="274">
        <v>253.5</v>
      </c>
      <c r="F43" s="274"/>
      <c r="G43" s="274">
        <v>163.6</v>
      </c>
      <c r="H43" s="274"/>
      <c r="I43" s="274">
        <v>190.69999999999996</v>
      </c>
      <c r="J43" s="274"/>
      <c r="K43" s="274">
        <v>182.20000000000002</v>
      </c>
      <c r="L43" s="274"/>
      <c r="M43" s="274">
        <v>299.5</v>
      </c>
      <c r="N43" s="274"/>
      <c r="O43" s="274">
        <v>177.5</v>
      </c>
      <c r="P43" s="274"/>
      <c r="Q43" s="274">
        <v>225.90000000000009</v>
      </c>
      <c r="R43" s="274"/>
      <c r="S43" s="299">
        <v>429.69999999999982</v>
      </c>
      <c r="T43" s="299"/>
      <c r="U43" s="299">
        <v>241.09999999999991</v>
      </c>
      <c r="V43" s="274"/>
      <c r="W43" s="299">
        <v>264.40000000000009</v>
      </c>
      <c r="X43" s="274"/>
      <c r="Y43" s="299">
        <f>$AD43-SUM($E43:W43)</f>
        <v>216.40000000000009</v>
      </c>
      <c r="Z43" s="274"/>
      <c r="AA43" s="299"/>
      <c r="AB43" s="274"/>
      <c r="AC43" s="534"/>
      <c r="AD43" s="542">
        <v>2644.5</v>
      </c>
      <c r="AE43" s="274"/>
      <c r="AF43" s="535" t="s">
        <v>103</v>
      </c>
      <c r="AG43" s="542">
        <v>2544.1999999999998</v>
      </c>
      <c r="AH43" s="297"/>
      <c r="AI43" s="103"/>
      <c r="AJ43" s="1092">
        <f>ROUND(AD43-AG43,1)</f>
        <v>100.3</v>
      </c>
      <c r="AK43" s="41"/>
      <c r="AL43" s="1855">
        <f>ROUND(IF(AG43=0,0,AJ43/ABS(AG43)),3)</f>
        <v>3.9E-2</v>
      </c>
      <c r="AM43" s="1712"/>
      <c r="AN43" s="1712"/>
    </row>
    <row r="44" spans="1:40">
      <c r="A44" s="301"/>
      <c r="B44" s="301"/>
      <c r="C44" s="301"/>
      <c r="D44" s="301"/>
      <c r="E44" s="629"/>
      <c r="F44" s="274"/>
      <c r="G44" s="629"/>
      <c r="H44" s="274"/>
      <c r="I44" s="629"/>
      <c r="J44" s="274"/>
      <c r="K44" s="629"/>
      <c r="L44" s="274"/>
      <c r="M44" s="629"/>
      <c r="N44" s="274"/>
      <c r="O44" s="629"/>
      <c r="P44" s="274"/>
      <c r="Q44" s="629"/>
      <c r="R44" s="274"/>
      <c r="S44" s="629"/>
      <c r="T44" s="274"/>
      <c r="U44" s="629"/>
      <c r="V44" s="274"/>
      <c r="W44" s="629"/>
      <c r="X44" s="274"/>
      <c r="Y44" s="629"/>
      <c r="Z44" s="274"/>
      <c r="AA44" s="629"/>
      <c r="AB44" s="274"/>
      <c r="AC44" s="534"/>
      <c r="AD44" s="629"/>
      <c r="AE44" s="1264"/>
      <c r="AF44" s="534"/>
      <c r="AG44" s="629"/>
      <c r="AH44" s="274"/>
      <c r="AI44" s="103"/>
      <c r="AJ44" s="12"/>
      <c r="AL44" s="101"/>
      <c r="AM44" s="1712"/>
      <c r="AN44" s="1712"/>
    </row>
    <row r="45" spans="1:40">
      <c r="A45" s="301"/>
      <c r="B45" s="3" t="s">
        <v>571</v>
      </c>
      <c r="C45" s="301"/>
      <c r="D45" s="301"/>
      <c r="E45" s="13">
        <f>ROUND(SUM(E41+E43),1)</f>
        <v>253.5</v>
      </c>
      <c r="F45" s="13"/>
      <c r="G45" s="13">
        <f>ROUND(SUM(G41+G43),1)</f>
        <v>163.6</v>
      </c>
      <c r="H45" s="13"/>
      <c r="I45" s="13">
        <f>ROUND(SUM(I41+I43),1)</f>
        <v>190.8</v>
      </c>
      <c r="J45" s="13"/>
      <c r="K45" s="13">
        <f>ROUND(SUM(K41+K43),1)</f>
        <v>182.2</v>
      </c>
      <c r="L45" s="13"/>
      <c r="M45" s="13">
        <f>ROUND(SUM(M41+M43),1)</f>
        <v>299.5</v>
      </c>
      <c r="N45" s="13"/>
      <c r="O45" s="13">
        <f>ROUND(SUM(O41+O43),1)</f>
        <v>177.5</v>
      </c>
      <c r="P45" s="13"/>
      <c r="Q45" s="13">
        <f>ROUND(SUM(Q41+Q43),1)</f>
        <v>225.9</v>
      </c>
      <c r="R45" s="13"/>
      <c r="S45" s="13">
        <f>ROUND(SUM(S41+S43),1)</f>
        <v>429.9</v>
      </c>
      <c r="T45" s="13"/>
      <c r="U45" s="13">
        <f>ROUND(SUM(U41+U43),1)</f>
        <v>241</v>
      </c>
      <c r="V45" s="13"/>
      <c r="W45" s="13">
        <f>ROUND(SUM(W41+W43),1)</f>
        <v>264.39999999999998</v>
      </c>
      <c r="X45" s="13"/>
      <c r="Y45" s="13">
        <f>ROUND(SUM(Y41+Y43),1)</f>
        <v>216.4</v>
      </c>
      <c r="Z45" s="13"/>
      <c r="AA45" s="13">
        <f>ROUND(SUM(AA41+AA43),1)</f>
        <v>0</v>
      </c>
      <c r="AB45" s="13"/>
      <c r="AC45" s="14"/>
      <c r="AD45" s="13">
        <f>ROUND(SUM(AD41+AD43),1)</f>
        <v>2644.7</v>
      </c>
      <c r="AE45" s="1266"/>
      <c r="AF45" s="14"/>
      <c r="AG45" s="13">
        <f>ROUND(SUM(AG41+AG43),1)</f>
        <v>2544.1999999999998</v>
      </c>
      <c r="AH45" s="18"/>
      <c r="AI45" s="103"/>
      <c r="AJ45" s="367">
        <f>ROUND(SUM(AJ41+AJ43),1)</f>
        <v>100.5</v>
      </c>
      <c r="AK45" s="40"/>
      <c r="AL45" s="625">
        <f>ROUND(SUM(AD45-AG45)/ABS(AG45),3)</f>
        <v>0.04</v>
      </c>
      <c r="AM45" s="1810"/>
      <c r="AN45" s="1712"/>
    </row>
    <row r="46" spans="1:40">
      <c r="A46" s="301"/>
      <c r="B46" s="301"/>
      <c r="C46" s="301"/>
      <c r="D46" s="301"/>
      <c r="E46" s="629"/>
      <c r="F46" s="274"/>
      <c r="G46" s="629"/>
      <c r="H46" s="274"/>
      <c r="I46" s="629"/>
      <c r="J46" s="274"/>
      <c r="K46" s="629"/>
      <c r="L46" s="274"/>
      <c r="M46" s="629"/>
      <c r="N46" s="274"/>
      <c r="O46" s="629"/>
      <c r="P46" s="274"/>
      <c r="Q46" s="629"/>
      <c r="R46" s="274"/>
      <c r="S46" s="629"/>
      <c r="T46" s="274"/>
      <c r="U46" s="629"/>
      <c r="V46" s="274"/>
      <c r="W46" s="629"/>
      <c r="X46" s="274"/>
      <c r="Y46" s="629"/>
      <c r="Z46" s="274"/>
      <c r="AA46" s="629"/>
      <c r="AB46" s="274"/>
      <c r="AC46" s="534"/>
      <c r="AD46" s="629"/>
      <c r="AE46" s="1264"/>
      <c r="AF46" s="534"/>
      <c r="AG46" s="629"/>
      <c r="AH46" s="274"/>
      <c r="AI46" s="103"/>
      <c r="AJ46" s="12"/>
      <c r="AL46" s="101"/>
      <c r="AM46" s="1712"/>
      <c r="AN46" s="1712"/>
    </row>
    <row r="47" spans="1:40">
      <c r="A47" s="301"/>
      <c r="B47" s="3" t="s">
        <v>122</v>
      </c>
      <c r="C47" s="301"/>
      <c r="D47" s="301"/>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534"/>
      <c r="AD47" s="274"/>
      <c r="AE47" s="1264"/>
      <c r="AF47" s="534"/>
      <c r="AG47" s="274"/>
      <c r="AH47" s="274"/>
      <c r="AI47" s="103"/>
      <c r="AJ47" s="12"/>
      <c r="AL47" s="101"/>
      <c r="AM47" s="1712"/>
      <c r="AN47" s="1712"/>
    </row>
    <row r="48" spans="1:40">
      <c r="A48" s="301"/>
      <c r="B48" s="301" t="s">
        <v>459</v>
      </c>
      <c r="C48" s="301"/>
      <c r="D48" s="301"/>
      <c r="E48" s="299"/>
      <c r="F48" s="274"/>
      <c r="G48" s="274"/>
      <c r="H48" s="274"/>
      <c r="I48" s="274"/>
      <c r="J48" s="274"/>
      <c r="K48" s="274"/>
      <c r="L48" s="274"/>
      <c r="M48" s="274"/>
      <c r="N48" s="274"/>
      <c r="O48" s="274"/>
      <c r="P48" s="274"/>
      <c r="Q48" s="299"/>
      <c r="R48" s="274"/>
      <c r="S48" s="274"/>
      <c r="T48" s="274"/>
      <c r="U48" s="274"/>
      <c r="V48" s="274"/>
      <c r="W48" s="274"/>
      <c r="X48" s="274"/>
      <c r="Y48" s="274"/>
      <c r="Z48" s="274"/>
      <c r="AA48" s="274"/>
      <c r="AB48" s="274"/>
      <c r="AC48" s="534"/>
      <c r="AD48" s="274"/>
      <c r="AE48" s="1264"/>
      <c r="AF48" s="534"/>
      <c r="AG48" s="274"/>
      <c r="AH48" s="274"/>
      <c r="AI48" s="103"/>
      <c r="AJ48" s="12"/>
      <c r="AK48" s="41"/>
      <c r="AL48" s="101"/>
      <c r="AM48" s="1712"/>
      <c r="AN48" s="1712"/>
    </row>
    <row r="49" spans="1:40">
      <c r="A49" s="301"/>
      <c r="B49" s="301" t="s">
        <v>124</v>
      </c>
      <c r="C49" s="301"/>
      <c r="D49" s="301"/>
      <c r="E49" s="274">
        <v>0</v>
      </c>
      <c r="F49" s="274"/>
      <c r="G49" s="274">
        <v>0</v>
      </c>
      <c r="H49" s="274"/>
      <c r="I49" s="274">
        <v>0</v>
      </c>
      <c r="J49" s="274"/>
      <c r="K49" s="274">
        <v>0</v>
      </c>
      <c r="L49" s="274"/>
      <c r="M49" s="274">
        <v>0</v>
      </c>
      <c r="N49" s="274"/>
      <c r="O49" s="274">
        <v>0</v>
      </c>
      <c r="P49" s="274"/>
      <c r="Q49" s="274">
        <v>0</v>
      </c>
      <c r="R49" s="274"/>
      <c r="S49" s="299">
        <v>0</v>
      </c>
      <c r="T49" s="299"/>
      <c r="U49" s="299">
        <v>0</v>
      </c>
      <c r="V49" s="274"/>
      <c r="W49" s="299">
        <v>0</v>
      </c>
      <c r="X49" s="299"/>
      <c r="Y49" s="299">
        <f>$AD49-SUM($E49:W49)</f>
        <v>0</v>
      </c>
      <c r="Z49" s="274"/>
      <c r="AA49" s="299"/>
      <c r="AB49" s="274"/>
      <c r="AC49" s="534"/>
      <c r="AD49" s="542">
        <v>0</v>
      </c>
      <c r="AE49" s="274"/>
      <c r="AF49" s="535" t="s">
        <v>103</v>
      </c>
      <c r="AG49" s="542">
        <v>0</v>
      </c>
      <c r="AH49" s="297"/>
      <c r="AI49" s="102"/>
      <c r="AJ49" s="434">
        <f>ROUND(AD49-AG49,1)</f>
        <v>0</v>
      </c>
      <c r="AK49" s="41"/>
      <c r="AL49" s="384">
        <f>ROUND(IF(AG49=0,0,AJ49/ABS(AG49)),3)</f>
        <v>0</v>
      </c>
      <c r="AM49" s="1712"/>
      <c r="AN49" s="1712"/>
    </row>
    <row r="50" spans="1:40">
      <c r="A50" s="301"/>
      <c r="B50" s="301" t="s">
        <v>125</v>
      </c>
      <c r="C50" s="301"/>
      <c r="D50" s="301"/>
      <c r="E50" s="274">
        <v>0</v>
      </c>
      <c r="F50" s="274"/>
      <c r="G50" s="274">
        <v>0.1</v>
      </c>
      <c r="H50" s="274"/>
      <c r="I50" s="274">
        <v>0</v>
      </c>
      <c r="J50" s="274"/>
      <c r="K50" s="274">
        <v>36.199999999999996</v>
      </c>
      <c r="L50" s="274"/>
      <c r="M50" s="274">
        <v>80</v>
      </c>
      <c r="N50" s="274"/>
      <c r="O50" s="274">
        <v>0</v>
      </c>
      <c r="P50" s="274"/>
      <c r="Q50" s="274">
        <v>0</v>
      </c>
      <c r="R50" s="274"/>
      <c r="S50" s="299">
        <v>189.89999999999998</v>
      </c>
      <c r="T50" s="299"/>
      <c r="U50" s="299">
        <v>43.699999999999989</v>
      </c>
      <c r="V50" s="274"/>
      <c r="W50" s="299">
        <v>109.5</v>
      </c>
      <c r="X50" s="299"/>
      <c r="Y50" s="299">
        <f>$AD50-SUM($E50:W50)</f>
        <v>0</v>
      </c>
      <c r="Z50" s="274"/>
      <c r="AA50" s="299"/>
      <c r="AB50" s="274"/>
      <c r="AC50" s="534"/>
      <c r="AD50" s="542">
        <v>459.4</v>
      </c>
      <c r="AE50" s="274"/>
      <c r="AF50" s="535" t="s">
        <v>103</v>
      </c>
      <c r="AG50" s="542">
        <v>488.9</v>
      </c>
      <c r="AH50" s="297"/>
      <c r="AI50" s="102"/>
      <c r="AJ50" s="434">
        <f>ROUND(AD50-AG50,1)</f>
        <v>-29.5</v>
      </c>
      <c r="AK50" s="41"/>
      <c r="AL50" s="553">
        <f>ROUND(IF(AG50=0,1,AJ50/ABS(AG50)),3)</f>
        <v>-0.06</v>
      </c>
      <c r="AM50" s="1712"/>
      <c r="AN50" s="1712"/>
    </row>
    <row r="51" spans="1:40">
      <c r="A51" s="301"/>
      <c r="B51" s="301" t="s">
        <v>126</v>
      </c>
      <c r="C51" s="301"/>
      <c r="D51" s="301"/>
      <c r="E51" s="274">
        <v>0</v>
      </c>
      <c r="F51" s="274"/>
      <c r="G51" s="274">
        <v>0</v>
      </c>
      <c r="H51" s="274"/>
      <c r="I51" s="274">
        <v>0</v>
      </c>
      <c r="J51" s="274"/>
      <c r="K51" s="274">
        <v>0</v>
      </c>
      <c r="L51" s="274"/>
      <c r="M51" s="274">
        <v>0</v>
      </c>
      <c r="N51" s="274"/>
      <c r="O51" s="274">
        <v>0</v>
      </c>
      <c r="P51" s="274"/>
      <c r="Q51" s="274">
        <v>0</v>
      </c>
      <c r="R51" s="274"/>
      <c r="S51" s="299">
        <v>0</v>
      </c>
      <c r="T51" s="299"/>
      <c r="U51" s="299">
        <v>0</v>
      </c>
      <c r="V51" s="274"/>
      <c r="W51" s="299">
        <v>0</v>
      </c>
      <c r="X51" s="299"/>
      <c r="Y51" s="299">
        <f>$AD51-SUM($E51:W51)</f>
        <v>0</v>
      </c>
      <c r="Z51" s="274"/>
      <c r="AA51" s="299"/>
      <c r="AB51" s="274"/>
      <c r="AC51" s="534"/>
      <c r="AD51" s="542">
        <v>0</v>
      </c>
      <c r="AE51" s="274"/>
      <c r="AF51" s="535" t="s">
        <v>103</v>
      </c>
      <c r="AG51" s="542">
        <v>0</v>
      </c>
      <c r="AH51" s="297"/>
      <c r="AI51" s="102"/>
      <c r="AJ51" s="434">
        <f>ROUND(AD51-AG51,1)</f>
        <v>0</v>
      </c>
      <c r="AL51" s="384">
        <f>ROUND(IF(AG51=0,0,AJ51/ABS(AG51)),3)</f>
        <v>0</v>
      </c>
      <c r="AM51" s="1712"/>
      <c r="AN51" s="1712"/>
    </row>
    <row r="52" spans="1:40">
      <c r="A52" s="301"/>
      <c r="B52" s="301" t="s">
        <v>127</v>
      </c>
      <c r="C52" s="301"/>
      <c r="D52" s="301"/>
      <c r="E52" s="274" t="s">
        <v>103</v>
      </c>
      <c r="F52" s="274"/>
      <c r="G52" s="299"/>
      <c r="H52" s="274"/>
      <c r="I52" s="299"/>
      <c r="J52" s="274"/>
      <c r="K52" s="274"/>
      <c r="L52" s="274"/>
      <c r="M52" s="299"/>
      <c r="N52" s="274"/>
      <c r="O52" s="274"/>
      <c r="P52" s="274"/>
      <c r="Q52" s="274"/>
      <c r="R52" s="274"/>
      <c r="S52" s="299"/>
      <c r="T52" s="299"/>
      <c r="U52" s="299"/>
      <c r="V52" s="274"/>
      <c r="W52" s="299"/>
      <c r="X52" s="299"/>
      <c r="Y52" s="299"/>
      <c r="Z52" s="274"/>
      <c r="AA52" s="299"/>
      <c r="AB52" s="274"/>
      <c r="AC52" s="534"/>
      <c r="AD52" s="523"/>
      <c r="AE52" s="274"/>
      <c r="AF52" s="535" t="s">
        <v>103</v>
      </c>
      <c r="AG52" s="523"/>
      <c r="AH52" s="274"/>
      <c r="AI52" s="103"/>
      <c r="AJ52" s="434"/>
      <c r="AK52" s="41"/>
      <c r="AL52" s="606" t="s">
        <v>103</v>
      </c>
      <c r="AM52" s="1712"/>
      <c r="AN52" s="1712"/>
    </row>
    <row r="53" spans="1:40">
      <c r="A53" s="301"/>
      <c r="B53" s="301" t="s">
        <v>128</v>
      </c>
      <c r="C53" s="3"/>
      <c r="D53" s="301"/>
      <c r="E53" s="274">
        <v>0</v>
      </c>
      <c r="F53" s="274"/>
      <c r="G53" s="274">
        <v>0</v>
      </c>
      <c r="H53" s="274"/>
      <c r="I53" s="274">
        <v>0</v>
      </c>
      <c r="J53" s="274"/>
      <c r="K53" s="274">
        <v>0</v>
      </c>
      <c r="L53" s="274"/>
      <c r="M53" s="274">
        <v>0</v>
      </c>
      <c r="N53" s="274"/>
      <c r="O53" s="274">
        <v>0</v>
      </c>
      <c r="P53" s="274"/>
      <c r="Q53" s="274">
        <v>0</v>
      </c>
      <c r="R53" s="274"/>
      <c r="S53" s="299">
        <v>0</v>
      </c>
      <c r="T53" s="299"/>
      <c r="U53" s="299">
        <v>0</v>
      </c>
      <c r="V53" s="274"/>
      <c r="W53" s="299">
        <v>0</v>
      </c>
      <c r="X53" s="299"/>
      <c r="Y53" s="299">
        <f>$AD53-SUM($E53:W53)</f>
        <v>0</v>
      </c>
      <c r="Z53" s="274"/>
      <c r="AA53" s="299"/>
      <c r="AB53" s="274"/>
      <c r="AC53" s="534"/>
      <c r="AD53" s="542">
        <v>0</v>
      </c>
      <c r="AE53" s="274"/>
      <c r="AF53" s="535" t="s">
        <v>103</v>
      </c>
      <c r="AG53" s="542">
        <v>0</v>
      </c>
      <c r="AH53" s="274"/>
      <c r="AI53" s="103"/>
      <c r="AJ53" s="434">
        <f t="shared" ref="AJ53:AJ58" si="3">ROUND(AD53-AG53,1)</f>
        <v>0</v>
      </c>
      <c r="AL53" s="384">
        <f>ROUND(IF(AG53=0,0,AJ53/ABS(AG53)),3)</f>
        <v>0</v>
      </c>
      <c r="AM53" s="1712"/>
      <c r="AN53" s="1712"/>
    </row>
    <row r="54" spans="1:40">
      <c r="A54" s="301"/>
      <c r="B54" s="301" t="s">
        <v>129</v>
      </c>
      <c r="C54" s="301"/>
      <c r="D54" s="301"/>
      <c r="E54" s="274">
        <v>0</v>
      </c>
      <c r="F54" s="274"/>
      <c r="G54" s="274">
        <v>1</v>
      </c>
      <c r="H54" s="274"/>
      <c r="I54" s="274">
        <v>0</v>
      </c>
      <c r="J54" s="274"/>
      <c r="K54" s="274">
        <v>0</v>
      </c>
      <c r="L54" s="274"/>
      <c r="M54" s="274">
        <v>0</v>
      </c>
      <c r="N54" s="274"/>
      <c r="O54" s="274">
        <v>0</v>
      </c>
      <c r="P54" s="274"/>
      <c r="Q54" s="274">
        <v>0</v>
      </c>
      <c r="R54" s="274"/>
      <c r="S54" s="299">
        <v>18.399999999999999</v>
      </c>
      <c r="T54" s="299"/>
      <c r="U54" s="299">
        <v>0</v>
      </c>
      <c r="V54" s="274"/>
      <c r="W54" s="299">
        <v>2.2000000000000028</v>
      </c>
      <c r="X54" s="299"/>
      <c r="Y54" s="299">
        <f>$AD54-SUM($E54:W54)</f>
        <v>0</v>
      </c>
      <c r="Z54" s="274"/>
      <c r="AA54" s="299"/>
      <c r="AB54" s="274"/>
      <c r="AC54" s="534"/>
      <c r="AD54" s="542">
        <v>21.6</v>
      </c>
      <c r="AE54" s="274"/>
      <c r="AF54" s="535" t="s">
        <v>103</v>
      </c>
      <c r="AG54" s="542">
        <v>83.9</v>
      </c>
      <c r="AH54" s="297"/>
      <c r="AI54" s="102"/>
      <c r="AJ54" s="434">
        <f t="shared" si="3"/>
        <v>-62.3</v>
      </c>
      <c r="AK54" s="41"/>
      <c r="AL54" s="553">
        <f>ROUND(IF(AG54=0,0,AJ54/ABS(AG54)),3)</f>
        <v>-0.74299999999999999</v>
      </c>
      <c r="AM54" s="1712"/>
      <c r="AN54" s="1712"/>
    </row>
    <row r="55" spans="1:40">
      <c r="A55" s="301"/>
      <c r="B55" s="301" t="s">
        <v>130</v>
      </c>
      <c r="C55" s="301"/>
      <c r="D55" s="301"/>
      <c r="E55" s="274">
        <v>0</v>
      </c>
      <c r="F55" s="274"/>
      <c r="G55" s="274">
        <v>0</v>
      </c>
      <c r="H55" s="274"/>
      <c r="I55" s="274">
        <v>0</v>
      </c>
      <c r="J55" s="274"/>
      <c r="K55" s="274">
        <v>0</v>
      </c>
      <c r="L55" s="274"/>
      <c r="M55" s="274">
        <v>0</v>
      </c>
      <c r="N55" s="274"/>
      <c r="O55" s="274">
        <v>0</v>
      </c>
      <c r="P55" s="274"/>
      <c r="Q55" s="274">
        <v>0</v>
      </c>
      <c r="R55" s="274"/>
      <c r="S55" s="299">
        <v>0</v>
      </c>
      <c r="T55" s="299"/>
      <c r="U55" s="299">
        <v>0</v>
      </c>
      <c r="V55" s="274"/>
      <c r="W55" s="299">
        <v>0</v>
      </c>
      <c r="X55" s="299"/>
      <c r="Y55" s="299">
        <f>$AD55-SUM($E55:W55)</f>
        <v>0</v>
      </c>
      <c r="Z55" s="274"/>
      <c r="AA55" s="299"/>
      <c r="AB55" s="274"/>
      <c r="AC55" s="534"/>
      <c r="AD55" s="542">
        <v>0</v>
      </c>
      <c r="AE55" s="274"/>
      <c r="AF55" s="535" t="s">
        <v>103</v>
      </c>
      <c r="AG55" s="542">
        <v>0</v>
      </c>
      <c r="AH55" s="297"/>
      <c r="AI55" s="102"/>
      <c r="AJ55" s="434">
        <f t="shared" si="3"/>
        <v>0</v>
      </c>
      <c r="AL55" s="553">
        <f>ROUND(IF(AG55=0,0,AJ55/ABS(AG55)),3)</f>
        <v>0</v>
      </c>
      <c r="AM55" s="1712"/>
      <c r="AN55" s="1712"/>
    </row>
    <row r="56" spans="1:40">
      <c r="A56" s="301"/>
      <c r="B56" s="301" t="s">
        <v>131</v>
      </c>
      <c r="C56" s="301"/>
      <c r="D56" s="301"/>
      <c r="E56" s="274">
        <v>0</v>
      </c>
      <c r="F56" s="274"/>
      <c r="G56" s="274">
        <v>0</v>
      </c>
      <c r="H56" s="274"/>
      <c r="I56" s="274">
        <v>0</v>
      </c>
      <c r="J56" s="274"/>
      <c r="K56" s="274">
        <v>0</v>
      </c>
      <c r="L56" s="274"/>
      <c r="M56" s="274">
        <v>0</v>
      </c>
      <c r="N56" s="274"/>
      <c r="O56" s="274">
        <v>0</v>
      </c>
      <c r="P56" s="274"/>
      <c r="Q56" s="274">
        <v>0</v>
      </c>
      <c r="R56" s="274"/>
      <c r="S56" s="299">
        <v>0</v>
      </c>
      <c r="T56" s="299"/>
      <c r="U56" s="299">
        <v>0</v>
      </c>
      <c r="V56" s="274"/>
      <c r="W56" s="299">
        <v>0</v>
      </c>
      <c r="X56" s="299"/>
      <c r="Y56" s="299">
        <f>$AD56-SUM($E56:W56)</f>
        <v>0</v>
      </c>
      <c r="Z56" s="274"/>
      <c r="AA56" s="299"/>
      <c r="AB56" s="274"/>
      <c r="AC56" s="534"/>
      <c r="AD56" s="542">
        <v>0</v>
      </c>
      <c r="AE56" s="274"/>
      <c r="AF56" s="535" t="s">
        <v>103</v>
      </c>
      <c r="AG56" s="542">
        <v>0</v>
      </c>
      <c r="AH56" s="274"/>
      <c r="AI56" s="103"/>
      <c r="AJ56" s="434">
        <f t="shared" si="3"/>
        <v>0</v>
      </c>
      <c r="AK56" s="41"/>
      <c r="AL56" s="384">
        <f>ROUND(IF(AG56=0,0,AJ56/ABS(AG56)),3)</f>
        <v>0</v>
      </c>
      <c r="AM56" s="1712"/>
      <c r="AN56" s="1712"/>
    </row>
    <row r="57" spans="1:40">
      <c r="A57" s="301"/>
      <c r="B57" s="301" t="s">
        <v>132</v>
      </c>
      <c r="C57" s="3"/>
      <c r="D57" s="301"/>
      <c r="E57" s="274">
        <v>1.4</v>
      </c>
      <c r="F57" s="274"/>
      <c r="G57" s="274">
        <v>0.5</v>
      </c>
      <c r="H57" s="274"/>
      <c r="I57" s="274">
        <v>0.10000000000000009</v>
      </c>
      <c r="J57" s="274"/>
      <c r="K57" s="274">
        <v>0.60000000000000009</v>
      </c>
      <c r="L57" s="274"/>
      <c r="M57" s="274">
        <v>0.19999999999999973</v>
      </c>
      <c r="N57" s="274"/>
      <c r="O57" s="274">
        <v>0.40000000000000036</v>
      </c>
      <c r="P57" s="274"/>
      <c r="Q57" s="274">
        <v>0</v>
      </c>
      <c r="R57" s="274"/>
      <c r="S57" s="299">
        <v>0.79999999999999982</v>
      </c>
      <c r="T57" s="299"/>
      <c r="U57" s="299">
        <v>0.59999999999999964</v>
      </c>
      <c r="V57" s="274"/>
      <c r="W57" s="299">
        <v>0.80000000000000071</v>
      </c>
      <c r="X57" s="299"/>
      <c r="Y57" s="299">
        <f>$AD57-SUM($E57:W57)</f>
        <v>0</v>
      </c>
      <c r="Z57" s="274"/>
      <c r="AA57" s="299"/>
      <c r="AB57" s="274"/>
      <c r="AC57" s="534"/>
      <c r="AD57" s="542">
        <v>5.4</v>
      </c>
      <c r="AE57" s="274"/>
      <c r="AF57" s="535" t="s">
        <v>103</v>
      </c>
      <c r="AG57" s="542">
        <v>7.8999999999999995</v>
      </c>
      <c r="AH57" s="274"/>
      <c r="AI57" s="103"/>
      <c r="AJ57" s="434">
        <f t="shared" si="3"/>
        <v>-2.5</v>
      </c>
      <c r="AL57" s="384">
        <f>ROUND(IF(AG57=0,1,AJ57/ABS(AG57)),3)</f>
        <v>-0.316</v>
      </c>
      <c r="AM57" s="1712"/>
      <c r="AN57" s="1712"/>
    </row>
    <row r="58" spans="1:40">
      <c r="A58" s="301"/>
      <c r="B58" s="301" t="s">
        <v>133</v>
      </c>
      <c r="C58" s="301"/>
      <c r="D58" s="301"/>
      <c r="E58" s="274">
        <v>21.2</v>
      </c>
      <c r="F58" s="274"/>
      <c r="G58" s="274">
        <v>40.5</v>
      </c>
      <c r="H58" s="274"/>
      <c r="I58" s="274">
        <v>17.299999999999997</v>
      </c>
      <c r="J58" s="274"/>
      <c r="K58" s="274">
        <v>24</v>
      </c>
      <c r="L58" s="274"/>
      <c r="M58" s="274">
        <v>16.400000000000006</v>
      </c>
      <c r="N58" s="274"/>
      <c r="O58" s="274">
        <v>41.300000000000026</v>
      </c>
      <c r="P58" s="274"/>
      <c r="Q58" s="274">
        <v>35.099999999999966</v>
      </c>
      <c r="R58" s="274"/>
      <c r="S58" s="299">
        <v>26.099999999999994</v>
      </c>
      <c r="T58" s="299"/>
      <c r="U58" s="299">
        <v>31.199999999999989</v>
      </c>
      <c r="V58" s="274"/>
      <c r="W58" s="299">
        <v>41.099999999999994</v>
      </c>
      <c r="X58" s="299"/>
      <c r="Y58" s="299">
        <f>$AD58-SUM($E58:W58)</f>
        <v>35.800000000000011</v>
      </c>
      <c r="Z58" s="274"/>
      <c r="AA58" s="299"/>
      <c r="AB58" s="274"/>
      <c r="AC58" s="534"/>
      <c r="AD58" s="542">
        <v>330</v>
      </c>
      <c r="AE58" s="274"/>
      <c r="AF58" s="535" t="s">
        <v>103</v>
      </c>
      <c r="AG58" s="542">
        <v>308.10000000000002</v>
      </c>
      <c r="AH58" s="274"/>
      <c r="AI58" s="103"/>
      <c r="AJ58" s="434">
        <f t="shared" si="3"/>
        <v>21.9</v>
      </c>
      <c r="AL58" s="1856">
        <f>ROUND((AD58-AG58)/ABS(AG58),3)</f>
        <v>7.0999999999999994E-2</v>
      </c>
      <c r="AM58" s="1712"/>
      <c r="AN58" s="1712"/>
    </row>
    <row r="59" spans="1:40">
      <c r="A59" s="301"/>
      <c r="B59" s="3" t="s">
        <v>572</v>
      </c>
      <c r="C59" s="301"/>
      <c r="D59" s="301"/>
      <c r="E59" s="630">
        <f>ROUND(SUM(E49:E58),1)</f>
        <v>22.6</v>
      </c>
      <c r="F59" s="13"/>
      <c r="G59" s="630">
        <f>ROUND(SUM(G49:G58),1)</f>
        <v>42.1</v>
      </c>
      <c r="H59" s="13"/>
      <c r="I59" s="630">
        <f>ROUND(SUM(I49:I58),1)</f>
        <v>17.399999999999999</v>
      </c>
      <c r="J59" s="13"/>
      <c r="K59" s="630">
        <f>ROUND(SUM(K49:K58),1)</f>
        <v>60.8</v>
      </c>
      <c r="L59" s="13"/>
      <c r="M59" s="630">
        <f>ROUND(SUM(M49:M58),1)</f>
        <v>96.6</v>
      </c>
      <c r="N59" s="13"/>
      <c r="O59" s="630">
        <f>ROUND(SUM(O49:O58),1)</f>
        <v>41.7</v>
      </c>
      <c r="P59" s="13"/>
      <c r="Q59" s="630">
        <f>ROUND(SUM(Q49:Q58),1)</f>
        <v>35.1</v>
      </c>
      <c r="R59" s="13"/>
      <c r="S59" s="630">
        <f>ROUND(SUM(S49:S58),1)</f>
        <v>235.2</v>
      </c>
      <c r="T59" s="13"/>
      <c r="U59" s="630">
        <f>ROUND(SUM(U49:U58),1)</f>
        <v>75.5</v>
      </c>
      <c r="V59" s="13"/>
      <c r="W59" s="630">
        <f>ROUND(SUM(W49:W58),1)</f>
        <v>153.6</v>
      </c>
      <c r="X59" s="13"/>
      <c r="Y59" s="630">
        <f>ROUND(SUM(Y49:Y58),1)</f>
        <v>35.799999999999997</v>
      </c>
      <c r="Z59" s="13"/>
      <c r="AA59" s="630">
        <f>ROUND(SUM(AA49:AA58),1)</f>
        <v>0</v>
      </c>
      <c r="AB59" s="13"/>
      <c r="AC59" s="14"/>
      <c r="AD59" s="630">
        <f>ROUND(SUM(AD49:AD58),1)</f>
        <v>816.4</v>
      </c>
      <c r="AE59" s="1266"/>
      <c r="AF59" s="14"/>
      <c r="AG59" s="630">
        <f>ROUND(SUM(AG49:AG58),1)</f>
        <v>888.8</v>
      </c>
      <c r="AH59" s="13"/>
      <c r="AI59" s="103"/>
      <c r="AJ59" s="630">
        <f>ROUND(SUM(AJ49:AJ58),1)</f>
        <v>-72.400000000000006</v>
      </c>
      <c r="AK59" s="3"/>
      <c r="AL59" s="946">
        <f>ROUND(SUM(AD59-AG59)/ABS(AG59),3)</f>
        <v>-8.1000000000000003E-2</v>
      </c>
      <c r="AM59" s="1810"/>
      <c r="AN59" s="1712"/>
    </row>
    <row r="60" spans="1:40">
      <c r="A60" s="301"/>
      <c r="B60" s="301" t="s">
        <v>573</v>
      </c>
      <c r="C60" s="301"/>
      <c r="D60" s="301"/>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534"/>
      <c r="AD60" s="274"/>
      <c r="AE60" s="1264"/>
      <c r="AF60" s="534"/>
      <c r="AG60" s="274"/>
      <c r="AH60" s="274"/>
      <c r="AI60" s="103"/>
      <c r="AJ60" s="12"/>
      <c r="AL60" s="101"/>
      <c r="AM60" s="1712"/>
      <c r="AN60" s="1712"/>
    </row>
    <row r="61" spans="1:40">
      <c r="A61" s="301"/>
      <c r="B61" s="301" t="s">
        <v>574</v>
      </c>
      <c r="C61" s="301"/>
      <c r="D61" s="301"/>
      <c r="E61" s="274">
        <v>0</v>
      </c>
      <c r="F61" s="274"/>
      <c r="G61" s="274">
        <v>0</v>
      </c>
      <c r="H61" s="274"/>
      <c r="I61" s="274">
        <v>0</v>
      </c>
      <c r="J61" s="274"/>
      <c r="K61" s="274">
        <v>0</v>
      </c>
      <c r="L61" s="274"/>
      <c r="M61" s="274">
        <v>0</v>
      </c>
      <c r="N61" s="274"/>
      <c r="O61" s="274">
        <v>0</v>
      </c>
      <c r="P61" s="274"/>
      <c r="Q61" s="274">
        <v>0</v>
      </c>
      <c r="R61" s="274"/>
      <c r="S61" s="299">
        <v>0</v>
      </c>
      <c r="T61" s="299"/>
      <c r="U61" s="299">
        <v>0</v>
      </c>
      <c r="V61" s="274"/>
      <c r="W61" s="299">
        <v>0</v>
      </c>
      <c r="X61" s="274"/>
      <c r="Y61" s="299">
        <f>$AD61-SUM($E61:W61)</f>
        <v>0</v>
      </c>
      <c r="Z61" s="274"/>
      <c r="AA61" s="299"/>
      <c r="AB61" s="274"/>
      <c r="AC61" s="534"/>
      <c r="AD61" s="274">
        <v>0</v>
      </c>
      <c r="AE61" s="1264"/>
      <c r="AF61" s="274"/>
      <c r="AG61" s="274">
        <v>0</v>
      </c>
      <c r="AH61" s="377"/>
      <c r="AI61" s="105"/>
      <c r="AJ61" s="434">
        <f>ROUND(AD61-AG61,1)</f>
        <v>0</v>
      </c>
      <c r="AL61" s="384">
        <f>ROUND(IF(AG61=0,0,AJ61/ABS(AG61)),3)</f>
        <v>0</v>
      </c>
      <c r="AM61" s="1712"/>
      <c r="AN61" s="1712"/>
    </row>
    <row r="62" spans="1:40">
      <c r="A62" s="301"/>
      <c r="B62" s="301" t="s">
        <v>575</v>
      </c>
      <c r="C62" s="301"/>
      <c r="D62" s="301"/>
      <c r="E62" s="274">
        <v>0</v>
      </c>
      <c r="F62" s="274"/>
      <c r="G62" s="274">
        <v>0</v>
      </c>
      <c r="H62" s="274"/>
      <c r="I62" s="274">
        <v>0</v>
      </c>
      <c r="J62" s="274"/>
      <c r="K62" s="274">
        <v>0</v>
      </c>
      <c r="L62" s="274"/>
      <c r="M62" s="274">
        <v>0</v>
      </c>
      <c r="N62" s="274"/>
      <c r="O62" s="274">
        <v>0</v>
      </c>
      <c r="P62" s="274"/>
      <c r="Q62" s="274">
        <v>0</v>
      </c>
      <c r="R62" s="274"/>
      <c r="S62" s="299">
        <v>0</v>
      </c>
      <c r="T62" s="299"/>
      <c r="U62" s="299">
        <v>0</v>
      </c>
      <c r="V62" s="274"/>
      <c r="W62" s="299">
        <v>0</v>
      </c>
      <c r="X62" s="274"/>
      <c r="Y62" s="299">
        <f>$AD62-SUM($E62:W62)</f>
        <v>0</v>
      </c>
      <c r="Z62" s="274"/>
      <c r="AA62" s="299"/>
      <c r="AB62" s="274"/>
      <c r="AC62" s="534"/>
      <c r="AD62" s="274">
        <v>0</v>
      </c>
      <c r="AE62" s="1264"/>
      <c r="AF62" s="274"/>
      <c r="AG62" s="274">
        <v>0</v>
      </c>
      <c r="AH62" s="377"/>
      <c r="AI62" s="105"/>
      <c r="AJ62" s="434">
        <f>ROUND(AD62-AG62,1)</f>
        <v>0</v>
      </c>
      <c r="AL62" s="384">
        <f>ROUND(IF(AG62=0,0,AJ62/ABS(AG62)),3)</f>
        <v>0</v>
      </c>
      <c r="AM62" s="1712"/>
      <c r="AN62" s="1712"/>
    </row>
    <row r="63" spans="1:40">
      <c r="A63" s="301"/>
      <c r="B63" s="301" t="s">
        <v>576</v>
      </c>
      <c r="C63" s="301"/>
      <c r="D63" s="301"/>
      <c r="E63" s="274">
        <v>0</v>
      </c>
      <c r="F63" s="274"/>
      <c r="G63" s="274">
        <v>0</v>
      </c>
      <c r="H63" s="274"/>
      <c r="I63" s="274">
        <v>0</v>
      </c>
      <c r="J63" s="274"/>
      <c r="K63" s="274">
        <v>0</v>
      </c>
      <c r="L63" s="274"/>
      <c r="M63" s="274">
        <v>0</v>
      </c>
      <c r="N63" s="274"/>
      <c r="O63" s="274">
        <v>0</v>
      </c>
      <c r="P63" s="274"/>
      <c r="Q63" s="274">
        <v>0</v>
      </c>
      <c r="R63" s="274"/>
      <c r="S63" s="299">
        <v>0</v>
      </c>
      <c r="T63" s="299"/>
      <c r="U63" s="299">
        <v>0</v>
      </c>
      <c r="V63" s="274"/>
      <c r="W63" s="299">
        <v>0</v>
      </c>
      <c r="X63" s="274"/>
      <c r="Y63" s="299">
        <f>$AD63-SUM($E63:W63)</f>
        <v>0</v>
      </c>
      <c r="Z63" s="274"/>
      <c r="AA63" s="299"/>
      <c r="AB63" s="274"/>
      <c r="AC63" s="534"/>
      <c r="AD63" s="274">
        <v>0</v>
      </c>
      <c r="AE63" s="1264"/>
      <c r="AF63" s="274"/>
      <c r="AG63" s="274">
        <v>0</v>
      </c>
      <c r="AH63" s="377"/>
      <c r="AI63" s="105"/>
      <c r="AJ63" s="434">
        <f>ROUND(AD63-AG63,1)</f>
        <v>0</v>
      </c>
      <c r="AL63" s="384">
        <f>ROUND(IF(AG63=0,0,AJ63/ABS(AG63)),3)</f>
        <v>0</v>
      </c>
      <c r="AM63" s="1712"/>
      <c r="AN63" s="1712"/>
    </row>
    <row r="64" spans="1:40">
      <c r="A64" s="301"/>
      <c r="B64" s="423" t="s">
        <v>593</v>
      </c>
      <c r="C64" s="301"/>
      <c r="D64" s="301"/>
      <c r="E64" s="274">
        <v>107.4</v>
      </c>
      <c r="F64" s="274"/>
      <c r="G64" s="274">
        <v>163.4</v>
      </c>
      <c r="H64" s="274"/>
      <c r="I64" s="274">
        <v>155.1</v>
      </c>
      <c r="J64" s="274"/>
      <c r="K64" s="274">
        <v>165.9</v>
      </c>
      <c r="L64" s="274"/>
      <c r="M64" s="274">
        <v>189.70000000000002</v>
      </c>
      <c r="N64" s="274"/>
      <c r="O64" s="274">
        <v>136.29999999999998</v>
      </c>
      <c r="P64" s="274"/>
      <c r="Q64" s="274">
        <v>218.20000000000005</v>
      </c>
      <c r="R64" s="274"/>
      <c r="S64" s="299">
        <v>165.90000000000009</v>
      </c>
      <c r="T64" s="299"/>
      <c r="U64" s="299">
        <v>133.19999999999982</v>
      </c>
      <c r="V64" s="274"/>
      <c r="W64" s="299">
        <v>121.50000000000023</v>
      </c>
      <c r="X64" s="274"/>
      <c r="Y64" s="299">
        <f>$AD64-SUM($E64:W64)</f>
        <v>87.099999999999909</v>
      </c>
      <c r="Z64" s="274"/>
      <c r="AA64" s="299"/>
      <c r="AB64" s="274"/>
      <c r="AC64" s="534"/>
      <c r="AD64" s="1012">
        <v>1643.7</v>
      </c>
      <c r="AE64" s="274"/>
      <c r="AF64" s="535" t="s">
        <v>103</v>
      </c>
      <c r="AG64" s="1012">
        <v>1679.7</v>
      </c>
      <c r="AH64" s="297"/>
      <c r="AI64" s="102"/>
      <c r="AJ64" s="1104">
        <f>ROUND(AD64-AG64,1)</f>
        <v>-36</v>
      </c>
      <c r="AL64" s="884">
        <f>ROUND(IF(AG64=0,0,AJ64/ABS(AG64)),3)</f>
        <v>-2.1000000000000001E-2</v>
      </c>
      <c r="AM64" s="1712"/>
      <c r="AN64" s="1712"/>
    </row>
    <row r="65" spans="1:40">
      <c r="A65" s="301"/>
      <c r="B65" s="301"/>
      <c r="C65" s="301"/>
      <c r="D65" s="301"/>
      <c r="E65" s="629"/>
      <c r="F65" s="274"/>
      <c r="G65" s="629"/>
      <c r="H65" s="274"/>
      <c r="I65" s="629"/>
      <c r="J65" s="274"/>
      <c r="K65" s="629"/>
      <c r="L65" s="274"/>
      <c r="M65" s="629"/>
      <c r="N65" s="274"/>
      <c r="O65" s="629"/>
      <c r="P65" s="274"/>
      <c r="Q65" s="629"/>
      <c r="R65" s="274"/>
      <c r="S65" s="629"/>
      <c r="T65" s="274"/>
      <c r="U65" s="629"/>
      <c r="V65" s="274"/>
      <c r="W65" s="629"/>
      <c r="X65" s="274"/>
      <c r="Y65" s="629"/>
      <c r="Z65" s="274"/>
      <c r="AA65" s="629"/>
      <c r="AB65" s="274"/>
      <c r="AC65" s="534"/>
      <c r="AD65" s="12"/>
      <c r="AE65" s="1264"/>
      <c r="AF65" s="534"/>
      <c r="AG65" s="12"/>
      <c r="AH65" s="12"/>
      <c r="AI65" s="103"/>
      <c r="AJ65" s="12"/>
      <c r="AL65" s="101"/>
      <c r="AM65" s="1712"/>
      <c r="AN65" s="1712"/>
    </row>
    <row r="66" spans="1:40">
      <c r="A66" s="301"/>
      <c r="B66" s="3" t="s">
        <v>577</v>
      </c>
      <c r="C66" s="301"/>
      <c r="D66" s="301"/>
      <c r="E66" s="13">
        <f>ROUND(SUM(E59:E64),1)</f>
        <v>130</v>
      </c>
      <c r="F66" s="13"/>
      <c r="G66" s="13">
        <f>ROUND(SUM(G59:G64),1)</f>
        <v>205.5</v>
      </c>
      <c r="H66" s="13"/>
      <c r="I66" s="13">
        <f>ROUND(SUM(I59:I64),1)</f>
        <v>172.5</v>
      </c>
      <c r="J66" s="13"/>
      <c r="K66" s="13">
        <f>ROUND(SUM(K59:K64),1)</f>
        <v>226.7</v>
      </c>
      <c r="L66" s="13"/>
      <c r="M66" s="13">
        <f>ROUND(SUM(M59:M64),1)</f>
        <v>286.3</v>
      </c>
      <c r="N66" s="13"/>
      <c r="O66" s="13">
        <f>ROUND(SUM(O59:O64),1)</f>
        <v>178</v>
      </c>
      <c r="P66" s="13"/>
      <c r="Q66" s="13">
        <f>ROUND(SUM(Q59:Q64),1)</f>
        <v>253.3</v>
      </c>
      <c r="R66" s="13"/>
      <c r="S66" s="13">
        <f>ROUND(SUM(S59:S64),1)</f>
        <v>401.1</v>
      </c>
      <c r="T66" s="13"/>
      <c r="U66" s="13">
        <f>ROUND(SUM(U59:U64),1)</f>
        <v>208.7</v>
      </c>
      <c r="V66" s="13"/>
      <c r="W66" s="13">
        <f>ROUND(SUM(W59:W64),1)</f>
        <v>275.10000000000002</v>
      </c>
      <c r="X66" s="13"/>
      <c r="Y66" s="13">
        <f>ROUND(SUM(Y59:Y64),1)</f>
        <v>122.9</v>
      </c>
      <c r="Z66" s="13"/>
      <c r="AA66" s="13">
        <f>ROUND(SUM(AA59:AA64),1)</f>
        <v>0</v>
      </c>
      <c r="AB66" s="13"/>
      <c r="AC66" s="14"/>
      <c r="AD66" s="13">
        <f>ROUND(SUM(AD59:AD64),1)</f>
        <v>2460.1</v>
      </c>
      <c r="AE66" s="1266"/>
      <c r="AF66" s="14"/>
      <c r="AG66" s="13">
        <f>ROUND(SUM(AG59:AG64),1)</f>
        <v>2568.5</v>
      </c>
      <c r="AH66" s="13"/>
      <c r="AI66" s="103"/>
      <c r="AJ66" s="367">
        <f>ROUND(AD66-AG66,1)</f>
        <v>-108.4</v>
      </c>
      <c r="AK66" s="3"/>
      <c r="AL66" s="625">
        <f>ROUND(SUM(AD66-AG66)/ABS(AG66),3)</f>
        <v>-4.2000000000000003E-2</v>
      </c>
      <c r="AM66" s="1712"/>
      <c r="AN66" s="1712"/>
    </row>
    <row r="67" spans="1:40">
      <c r="A67" s="301"/>
      <c r="B67" s="301"/>
      <c r="C67" s="301"/>
      <c r="D67" s="301"/>
      <c r="E67" s="629"/>
      <c r="F67" s="274"/>
      <c r="G67" s="629"/>
      <c r="H67" s="274"/>
      <c r="I67" s="629"/>
      <c r="J67" s="274"/>
      <c r="K67" s="629"/>
      <c r="L67" s="274"/>
      <c r="M67" s="629"/>
      <c r="N67" s="274"/>
      <c r="O67" s="629"/>
      <c r="P67" s="274"/>
      <c r="Q67" s="629"/>
      <c r="R67" s="274"/>
      <c r="S67" s="629"/>
      <c r="T67" s="274"/>
      <c r="U67" s="629"/>
      <c r="V67" s="274"/>
      <c r="W67" s="629"/>
      <c r="X67" s="274"/>
      <c r="Y67" s="629"/>
      <c r="Z67" s="274"/>
      <c r="AA67" s="629"/>
      <c r="AB67" s="274"/>
      <c r="AC67" s="534"/>
      <c r="AD67" s="629"/>
      <c r="AE67" s="1264"/>
      <c r="AF67" s="534"/>
      <c r="AG67" s="629"/>
      <c r="AH67" s="274"/>
      <c r="AI67" s="103"/>
      <c r="AJ67" s="12"/>
      <c r="AL67" s="101"/>
      <c r="AM67" s="1712"/>
      <c r="AN67" s="1712"/>
    </row>
    <row r="68" spans="1:40">
      <c r="A68" s="301"/>
      <c r="B68" s="3" t="s">
        <v>578</v>
      </c>
      <c r="C68" s="301"/>
      <c r="D68" s="301"/>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534"/>
      <c r="AD68" s="12"/>
      <c r="AE68" s="1264"/>
      <c r="AF68" s="274"/>
      <c r="AG68" s="12"/>
      <c r="AH68" s="12"/>
      <c r="AI68" s="103"/>
      <c r="AJ68" s="12"/>
      <c r="AL68" s="101"/>
      <c r="AM68" s="1712"/>
      <c r="AN68" s="1712"/>
    </row>
    <row r="69" spans="1:40">
      <c r="A69" s="301"/>
      <c r="B69" s="3" t="s">
        <v>579</v>
      </c>
      <c r="C69" s="301"/>
      <c r="D69" s="301"/>
      <c r="E69" s="13">
        <f>ROUND(E45-E66,1)</f>
        <v>123.5</v>
      </c>
      <c r="F69" s="13"/>
      <c r="G69" s="13">
        <f>ROUND(G45-G66,1)</f>
        <v>-41.9</v>
      </c>
      <c r="H69" s="13"/>
      <c r="I69" s="13">
        <f>ROUND(I45-I66,1)</f>
        <v>18.3</v>
      </c>
      <c r="J69" s="13"/>
      <c r="K69" s="13">
        <f>ROUND(K45-K66,1)</f>
        <v>-44.5</v>
      </c>
      <c r="L69" s="13"/>
      <c r="M69" s="13">
        <f>ROUND(M45-M66,1)</f>
        <v>13.2</v>
      </c>
      <c r="N69" s="13"/>
      <c r="O69" s="13">
        <f>ROUND(O45-O66,1)</f>
        <v>-0.5</v>
      </c>
      <c r="P69" s="13"/>
      <c r="Q69" s="13">
        <f>ROUND(Q45-Q66,1)</f>
        <v>-27.4</v>
      </c>
      <c r="R69" s="13"/>
      <c r="S69" s="13">
        <f>ROUND(S45-S66,1)</f>
        <v>28.8</v>
      </c>
      <c r="T69" s="13"/>
      <c r="U69" s="13">
        <f>ROUND(U45-U66,1)</f>
        <v>32.299999999999997</v>
      </c>
      <c r="V69" s="13"/>
      <c r="W69" s="13">
        <f>ROUND(W45-W66,1)</f>
        <v>-10.7</v>
      </c>
      <c r="X69" s="13"/>
      <c r="Y69" s="13">
        <f>ROUND(Y45-Y66,1)</f>
        <v>93.5</v>
      </c>
      <c r="Z69" s="13"/>
      <c r="AA69" s="13">
        <f>ROUND(AA45-AA66,1)</f>
        <v>0</v>
      </c>
      <c r="AB69" s="13"/>
      <c r="AC69" s="14"/>
      <c r="AD69" s="13">
        <f>ROUND(AD45-AD66,1)</f>
        <v>184.6</v>
      </c>
      <c r="AE69" s="1266"/>
      <c r="AF69" s="14"/>
      <c r="AG69" s="13">
        <f>ROUND(AG45-AG66,1)</f>
        <v>-24.3</v>
      </c>
      <c r="AH69" s="13"/>
      <c r="AI69" s="103"/>
      <c r="AJ69" s="367">
        <f>ROUND(AD69-AG69,1)</f>
        <v>208.9</v>
      </c>
      <c r="AK69" s="3"/>
      <c r="AL69" s="550">
        <f>ROUND(SUM(AD69-AG69)/ABS(AG69),3)</f>
        <v>8.5969999999999995</v>
      </c>
      <c r="AM69" s="1712"/>
      <c r="AN69" s="1712"/>
    </row>
    <row r="70" spans="1:40">
      <c r="A70" s="301"/>
      <c r="B70" s="301"/>
      <c r="C70" s="301"/>
      <c r="D70" s="301"/>
      <c r="E70" s="629"/>
      <c r="F70" s="274"/>
      <c r="G70" s="629"/>
      <c r="H70" s="274"/>
      <c r="I70" s="629"/>
      <c r="J70" s="274"/>
      <c r="K70" s="629"/>
      <c r="L70" s="274"/>
      <c r="M70" s="629"/>
      <c r="N70" s="274"/>
      <c r="O70" s="629"/>
      <c r="P70" s="274"/>
      <c r="Q70" s="629"/>
      <c r="R70" s="274"/>
      <c r="S70" s="629"/>
      <c r="T70" s="274"/>
      <c r="U70" s="629"/>
      <c r="V70" s="274"/>
      <c r="W70" s="629"/>
      <c r="X70" s="274"/>
      <c r="Y70" s="629"/>
      <c r="Z70" s="274"/>
      <c r="AA70" s="629"/>
      <c r="AB70" s="274"/>
      <c r="AC70" s="534"/>
      <c r="AD70" s="629"/>
      <c r="AE70" s="1264"/>
      <c r="AF70" s="534"/>
      <c r="AG70" s="629"/>
      <c r="AH70" s="274"/>
      <c r="AI70" s="103"/>
      <c r="AJ70" s="12"/>
      <c r="AL70" s="101"/>
      <c r="AM70" s="1712"/>
      <c r="AN70" s="1712"/>
    </row>
    <row r="71" spans="1:40">
      <c r="A71" s="301"/>
      <c r="B71" s="3" t="s">
        <v>580</v>
      </c>
      <c r="C71" s="301"/>
      <c r="D71" s="301"/>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534"/>
      <c r="AD71" s="377"/>
      <c r="AE71" s="1264"/>
      <c r="AF71" s="534"/>
      <c r="AG71" s="377"/>
      <c r="AH71" s="377"/>
      <c r="AI71" s="105"/>
      <c r="AJ71" s="12"/>
      <c r="AL71" s="101"/>
      <c r="AM71" s="1712"/>
      <c r="AN71" s="1712"/>
    </row>
    <row r="72" spans="1:40">
      <c r="A72" s="301"/>
      <c r="B72" s="423" t="s">
        <v>594</v>
      </c>
      <c r="C72" s="301"/>
      <c r="D72" s="301"/>
      <c r="E72" s="274">
        <v>0</v>
      </c>
      <c r="F72" s="274"/>
      <c r="G72" s="274">
        <v>0</v>
      </c>
      <c r="H72" s="274"/>
      <c r="I72" s="274">
        <v>0</v>
      </c>
      <c r="J72" s="274"/>
      <c r="K72" s="274">
        <v>0</v>
      </c>
      <c r="L72" s="274"/>
      <c r="M72" s="274">
        <v>0</v>
      </c>
      <c r="N72" s="274"/>
      <c r="O72" s="274">
        <v>24.8</v>
      </c>
      <c r="P72" s="274"/>
      <c r="Q72" s="274">
        <v>0</v>
      </c>
      <c r="R72" s="274"/>
      <c r="S72" s="299">
        <v>0</v>
      </c>
      <c r="T72" s="299"/>
      <c r="U72" s="299">
        <v>0</v>
      </c>
      <c r="V72" s="274"/>
      <c r="W72" s="299">
        <v>0</v>
      </c>
      <c r="X72" s="274"/>
      <c r="Y72" s="299">
        <f>$AD72-SUM($E72:W72)</f>
        <v>0</v>
      </c>
      <c r="Z72" s="274"/>
      <c r="AA72" s="299"/>
      <c r="AB72" s="274"/>
      <c r="AC72" s="534"/>
      <c r="AD72" s="542">
        <v>24.8</v>
      </c>
      <c r="AE72" s="297"/>
      <c r="AF72" s="1857"/>
      <c r="AG72" s="542">
        <v>0</v>
      </c>
      <c r="AH72" s="297"/>
      <c r="AI72" s="102"/>
      <c r="AJ72" s="1105">
        <f>ROUND(AD72-AG72,1)</f>
        <v>24.8</v>
      </c>
      <c r="AL72" s="384">
        <f>ROUND(IF(AG72=0,1,AJ72/ABS(AG72)),3)</f>
        <v>1</v>
      </c>
      <c r="AM72" s="1712"/>
      <c r="AN72" s="1712"/>
    </row>
    <row r="73" spans="1:40">
      <c r="A73" s="301"/>
      <c r="B73" s="423" t="s">
        <v>595</v>
      </c>
      <c r="C73" s="301"/>
      <c r="D73" s="301"/>
      <c r="E73" s="274">
        <v>0</v>
      </c>
      <c r="F73" s="274"/>
      <c r="G73" s="274">
        <v>0</v>
      </c>
      <c r="H73" s="274"/>
      <c r="I73" s="274">
        <v>-0.4</v>
      </c>
      <c r="J73" s="274"/>
      <c r="K73" s="274">
        <v>0</v>
      </c>
      <c r="L73" s="274"/>
      <c r="M73" s="274">
        <v>0</v>
      </c>
      <c r="N73" s="274"/>
      <c r="O73" s="274">
        <v>0</v>
      </c>
      <c r="P73" s="274"/>
      <c r="Q73" s="274">
        <v>0</v>
      </c>
      <c r="R73" s="274"/>
      <c r="S73" s="299">
        <v>0</v>
      </c>
      <c r="T73" s="299"/>
      <c r="U73" s="299">
        <v>-0.19999999999999996</v>
      </c>
      <c r="V73" s="274"/>
      <c r="W73" s="299">
        <v>0</v>
      </c>
      <c r="X73" s="274"/>
      <c r="Y73" s="299">
        <f>$AD73-SUM($E73:W73)</f>
        <v>0</v>
      </c>
      <c r="Z73" s="299"/>
      <c r="AA73" s="299"/>
      <c r="AB73" s="274"/>
      <c r="AC73" s="534"/>
      <c r="AD73" s="1012">
        <v>-0.6</v>
      </c>
      <c r="AE73" s="297"/>
      <c r="AF73" s="1857"/>
      <c r="AG73" s="1012">
        <v>-0.2</v>
      </c>
      <c r="AH73" s="274"/>
      <c r="AI73" s="103"/>
      <c r="AJ73" s="1104">
        <f>-ROUND(AD73-AG73,1)</f>
        <v>0.4</v>
      </c>
      <c r="AL73" s="384">
        <f>ROUND(IF(AG73=0,1,AJ73/ABS(AG73)),3)</f>
        <v>2</v>
      </c>
      <c r="AM73" s="1712"/>
      <c r="AN73" s="1712"/>
    </row>
    <row r="74" spans="1:40">
      <c r="A74" s="301"/>
      <c r="B74" s="301"/>
      <c r="C74" s="301"/>
      <c r="D74" s="301"/>
      <c r="E74" s="629"/>
      <c r="F74" s="274"/>
      <c r="G74" s="629"/>
      <c r="H74" s="274"/>
      <c r="I74" s="629"/>
      <c r="J74" s="274"/>
      <c r="K74" s="629"/>
      <c r="L74" s="274"/>
      <c r="M74" s="629"/>
      <c r="N74" s="274"/>
      <c r="O74" s="629"/>
      <c r="P74" s="274"/>
      <c r="Q74" s="629"/>
      <c r="R74" s="274"/>
      <c r="S74" s="629"/>
      <c r="T74" s="274"/>
      <c r="U74" s="629"/>
      <c r="V74" s="274"/>
      <c r="W74" s="631"/>
      <c r="X74" s="274"/>
      <c r="Y74" s="629"/>
      <c r="Z74" s="274"/>
      <c r="AA74" s="629"/>
      <c r="AB74" s="274"/>
      <c r="AC74" s="534"/>
      <c r="AD74" s="12"/>
      <c r="AE74" s="1264"/>
      <c r="AF74" s="534"/>
      <c r="AG74" s="12"/>
      <c r="AH74" s="12"/>
      <c r="AI74" s="103"/>
      <c r="AJ74" s="1858"/>
      <c r="AK74" s="1859"/>
      <c r="AL74" s="1860"/>
      <c r="AM74" s="1712"/>
      <c r="AN74" s="1712"/>
    </row>
    <row r="75" spans="1:40">
      <c r="A75" s="301"/>
      <c r="B75" s="3" t="s">
        <v>596</v>
      </c>
      <c r="C75" s="301"/>
      <c r="D75" s="301"/>
      <c r="E75" s="16">
        <f>ROUND(SUM(E72:E74),1)</f>
        <v>0</v>
      </c>
      <c r="F75" s="274"/>
      <c r="G75" s="16">
        <v>0</v>
      </c>
      <c r="H75" s="274"/>
      <c r="I75" s="16">
        <f>ROUND(SUM(I72:I74),1)</f>
        <v>-0.4</v>
      </c>
      <c r="J75" s="274"/>
      <c r="K75" s="16">
        <f>ROUND(SUM(K72:K74),1)</f>
        <v>0</v>
      </c>
      <c r="L75" s="274"/>
      <c r="M75" s="16">
        <f>ROUND(SUM(M72:M74),1)</f>
        <v>0</v>
      </c>
      <c r="N75" s="274"/>
      <c r="O75" s="16">
        <f>ROUND(SUM(O72:O74),1)</f>
        <v>24.8</v>
      </c>
      <c r="P75" s="274"/>
      <c r="Q75" s="16">
        <f>ROUND(SUM(Q72:Q74),1)</f>
        <v>0</v>
      </c>
      <c r="R75" s="377"/>
      <c r="S75" s="16">
        <f>ROUND(SUM(S72:S74),1)</f>
        <v>0</v>
      </c>
      <c r="T75" s="274"/>
      <c r="U75" s="16">
        <f>ROUND(SUM(U72:U74),1)</f>
        <v>-0.2</v>
      </c>
      <c r="V75" s="274"/>
      <c r="W75" s="16">
        <f>ROUND(SUM(W72:W74),1)</f>
        <v>0</v>
      </c>
      <c r="X75" s="274"/>
      <c r="Y75" s="16">
        <f>ROUND(SUM(Y72:Y74),1)</f>
        <v>0</v>
      </c>
      <c r="Z75" s="297"/>
      <c r="AA75" s="16">
        <f>ROUND(SUM(AA72:AA74),1)</f>
        <v>0</v>
      </c>
      <c r="AB75" s="274"/>
      <c r="AC75" s="534"/>
      <c r="AD75" s="16">
        <f>ROUND(SUM(AD72:AD74),1)</f>
        <v>24.2</v>
      </c>
      <c r="AE75" s="1264"/>
      <c r="AF75" s="534"/>
      <c r="AG75" s="16">
        <f>ROUND(SUM(AG72:AG74),1)</f>
        <v>-0.2</v>
      </c>
      <c r="AH75" s="274"/>
      <c r="AI75" s="103"/>
      <c r="AJ75" s="16">
        <f>ROUND(SUM(AD75-AG75),1)</f>
        <v>24.4</v>
      </c>
      <c r="AK75" s="1859"/>
      <c r="AL75" s="550">
        <f>ROUND(IF(AG75=0,1,AJ75/ABS(AG75)),3)</f>
        <v>122</v>
      </c>
      <c r="AM75" s="1712"/>
      <c r="AN75" s="1712"/>
    </row>
    <row r="76" spans="1:40">
      <c r="A76" s="301"/>
      <c r="B76" s="301"/>
      <c r="C76" s="301"/>
      <c r="D76" s="301"/>
      <c r="E76" s="629"/>
      <c r="F76" s="274"/>
      <c r="G76" s="629"/>
      <c r="H76" s="274"/>
      <c r="I76" s="629"/>
      <c r="J76" s="274"/>
      <c r="K76" s="629"/>
      <c r="L76" s="274"/>
      <c r="M76" s="629"/>
      <c r="N76" s="274"/>
      <c r="O76" s="629"/>
      <c r="P76" s="274"/>
      <c r="Q76" s="629"/>
      <c r="R76" s="274"/>
      <c r="S76" s="629"/>
      <c r="T76" s="274"/>
      <c r="U76" s="629"/>
      <c r="V76" s="274"/>
      <c r="W76" s="629"/>
      <c r="X76" s="274"/>
      <c r="Y76" s="629"/>
      <c r="Z76" s="274"/>
      <c r="AA76" s="629"/>
      <c r="AB76" s="274"/>
      <c r="AC76" s="534"/>
      <c r="AD76" s="629"/>
      <c r="AE76" s="1264"/>
      <c r="AF76" s="534"/>
      <c r="AG76" s="629"/>
      <c r="AH76" s="274"/>
      <c r="AI76" s="103"/>
      <c r="AJ76" s="629"/>
      <c r="AL76" s="1057"/>
      <c r="AM76" s="1712"/>
      <c r="AN76" s="1712"/>
    </row>
    <row r="77" spans="1:40">
      <c r="A77" s="301"/>
      <c r="B77" s="3" t="s">
        <v>584</v>
      </c>
      <c r="C77" s="301"/>
      <c r="D77" s="301"/>
      <c r="E77" s="274" t="s">
        <v>103</v>
      </c>
      <c r="F77" s="274" t="s">
        <v>103</v>
      </c>
      <c r="G77" s="274" t="s">
        <v>103</v>
      </c>
      <c r="H77" s="274"/>
      <c r="I77" s="274" t="s">
        <v>103</v>
      </c>
      <c r="J77" s="274"/>
      <c r="K77" s="274" t="s">
        <v>103</v>
      </c>
      <c r="L77" s="274"/>
      <c r="M77" s="274" t="s">
        <v>103</v>
      </c>
      <c r="N77" s="274"/>
      <c r="O77" s="274" t="s">
        <v>103</v>
      </c>
      <c r="P77" s="274"/>
      <c r="Q77" s="274" t="s">
        <v>103</v>
      </c>
      <c r="R77" s="274"/>
      <c r="S77" s="274" t="s">
        <v>103</v>
      </c>
      <c r="T77" s="274"/>
      <c r="U77" s="274" t="s">
        <v>103</v>
      </c>
      <c r="V77" s="274"/>
      <c r="W77" s="274" t="s">
        <v>103</v>
      </c>
      <c r="X77" s="274"/>
      <c r="Y77" s="274" t="s">
        <v>103</v>
      </c>
      <c r="Z77" s="274"/>
      <c r="AA77" s="274" t="s">
        <v>103</v>
      </c>
      <c r="AB77" s="274"/>
      <c r="AC77" s="534"/>
      <c r="AD77" s="274"/>
      <c r="AE77" s="1264"/>
      <c r="AF77" s="534"/>
      <c r="AG77" s="274"/>
      <c r="AH77" s="274"/>
      <c r="AI77" s="103"/>
      <c r="AJ77" s="12"/>
      <c r="AL77" s="101"/>
      <c r="AM77" s="1712"/>
      <c r="AN77" s="1712"/>
    </row>
    <row r="78" spans="1:40">
      <c r="A78" s="301"/>
      <c r="B78" s="3" t="s">
        <v>585</v>
      </c>
      <c r="C78" s="301"/>
      <c r="D78" s="301"/>
      <c r="E78" s="274"/>
      <c r="F78" s="274"/>
      <c r="G78" s="274" t="s">
        <v>103</v>
      </c>
      <c r="H78" s="274"/>
      <c r="I78" s="274" t="s">
        <v>103</v>
      </c>
      <c r="J78" s="274"/>
      <c r="K78" s="274" t="s">
        <v>103</v>
      </c>
      <c r="L78" s="274"/>
      <c r="M78" s="274" t="s">
        <v>103</v>
      </c>
      <c r="N78" s="274"/>
      <c r="O78" s="274" t="s">
        <v>103</v>
      </c>
      <c r="P78" s="274"/>
      <c r="Q78" s="274" t="s">
        <v>103</v>
      </c>
      <c r="R78" s="274"/>
      <c r="S78" s="274" t="s">
        <v>103</v>
      </c>
      <c r="T78" s="274"/>
      <c r="U78" s="274" t="s">
        <v>103</v>
      </c>
      <c r="V78" s="274"/>
      <c r="W78" s="274" t="s">
        <v>103</v>
      </c>
      <c r="X78" s="274"/>
      <c r="Y78" s="274" t="s">
        <v>103</v>
      </c>
      <c r="Z78" s="274"/>
      <c r="AA78" s="274" t="s">
        <v>103</v>
      </c>
      <c r="AB78" s="274"/>
      <c r="AC78" s="534"/>
      <c r="AD78" s="274"/>
      <c r="AE78" s="1264"/>
      <c r="AF78" s="534"/>
      <c r="AG78" s="274"/>
      <c r="AH78" s="274"/>
      <c r="AI78" s="103"/>
      <c r="AJ78" s="12"/>
      <c r="AL78" s="101"/>
      <c r="AM78" s="1712"/>
      <c r="AN78" s="1712"/>
    </row>
    <row r="79" spans="1:40">
      <c r="A79" s="301"/>
      <c r="B79" s="3" t="s">
        <v>479</v>
      </c>
      <c r="C79" s="301"/>
      <c r="D79" s="301"/>
      <c r="E79" s="367">
        <f>ROUND(E69+E75,1)</f>
        <v>123.5</v>
      </c>
      <c r="F79" s="274"/>
      <c r="G79" s="367">
        <f>ROUND(G69+G75,1)</f>
        <v>-41.9</v>
      </c>
      <c r="H79" s="274"/>
      <c r="I79" s="367">
        <f>ROUND(I69+I75,1)</f>
        <v>17.899999999999999</v>
      </c>
      <c r="J79" s="274"/>
      <c r="K79" s="367">
        <f>ROUND(K69+K75,1)</f>
        <v>-44.5</v>
      </c>
      <c r="L79" s="274"/>
      <c r="M79" s="367">
        <f>ROUND(M69+M75,1)</f>
        <v>13.2</v>
      </c>
      <c r="N79" s="274"/>
      <c r="O79" s="367">
        <f>ROUND(O69+O75,1)</f>
        <v>24.3</v>
      </c>
      <c r="P79" s="274"/>
      <c r="Q79" s="367">
        <f>ROUND(Q69+Q75,1)</f>
        <v>-27.4</v>
      </c>
      <c r="R79" s="274"/>
      <c r="S79" s="367">
        <f>ROUND(S69+S75,1)</f>
        <v>28.8</v>
      </c>
      <c r="T79" s="274"/>
      <c r="U79" s="367">
        <f>ROUND(U69+U75,1)</f>
        <v>32.1</v>
      </c>
      <c r="V79" s="274"/>
      <c r="W79" s="367">
        <f>ROUND(W69+W75,1)</f>
        <v>-10.7</v>
      </c>
      <c r="X79" s="274"/>
      <c r="Y79" s="367">
        <f>ROUND(Y69+Y75,1)</f>
        <v>93.5</v>
      </c>
      <c r="Z79" s="274"/>
      <c r="AA79" s="367">
        <f>ROUND(AA69+AA75,1)</f>
        <v>0</v>
      </c>
      <c r="AB79" s="274"/>
      <c r="AC79" s="535"/>
      <c r="AD79" s="367">
        <f>ROUND(AD69+AD75,1)</f>
        <v>208.8</v>
      </c>
      <c r="AE79" s="1861"/>
      <c r="AF79" s="876"/>
      <c r="AG79" s="367">
        <f>ROUND(AG69+AG75,1)</f>
        <v>-24.5</v>
      </c>
      <c r="AH79" s="624"/>
      <c r="AI79" s="1862"/>
      <c r="AJ79" s="367">
        <f>ROUND(AD79-AG79,1)</f>
        <v>233.3</v>
      </c>
      <c r="AK79" s="13"/>
      <c r="AL79" s="550">
        <f>ROUND(SUM(AD79-AG79)/ABS(AG79),3)</f>
        <v>9.5220000000000002</v>
      </c>
      <c r="AM79" s="1712"/>
      <c r="AN79" s="1712"/>
    </row>
    <row r="80" spans="1:40">
      <c r="A80" s="301"/>
      <c r="B80" s="3"/>
      <c r="C80" s="301"/>
      <c r="D80" s="301"/>
      <c r="E80" s="20"/>
      <c r="F80" s="274"/>
      <c r="G80" s="20"/>
      <c r="H80" s="274"/>
      <c r="I80" s="20"/>
      <c r="J80" s="274"/>
      <c r="K80" s="20"/>
      <c r="L80" s="274"/>
      <c r="M80" s="20"/>
      <c r="N80" s="274"/>
      <c r="O80" s="20"/>
      <c r="P80" s="274"/>
      <c r="Q80" s="20"/>
      <c r="R80" s="274"/>
      <c r="S80" s="20"/>
      <c r="T80" s="274"/>
      <c r="U80" s="20"/>
      <c r="V80" s="274"/>
      <c r="W80" s="20"/>
      <c r="X80" s="274"/>
      <c r="Y80" s="20"/>
      <c r="Z80" s="274"/>
      <c r="AA80" s="20"/>
      <c r="AB80" s="274"/>
      <c r="AC80" s="535"/>
      <c r="AD80" s="20"/>
      <c r="AE80" s="1863"/>
      <c r="AF80" s="1864"/>
      <c r="AG80" s="20"/>
      <c r="AH80" s="1863"/>
      <c r="AI80" s="1865"/>
      <c r="AJ80" s="20"/>
      <c r="AK80" s="3"/>
      <c r="AL80" s="554"/>
      <c r="AM80" s="1712"/>
      <c r="AN80" s="1712"/>
    </row>
    <row r="81" spans="1:40" ht="16" thickBot="1">
      <c r="A81" s="301"/>
      <c r="B81" s="3" t="s">
        <v>540</v>
      </c>
      <c r="C81" s="301"/>
      <c r="D81" s="301"/>
      <c r="E81" s="74">
        <f>ROUND(SUM(E13+E79),1)</f>
        <v>-449.3</v>
      </c>
      <c r="F81" s="274"/>
      <c r="G81" s="74">
        <f>ROUND(SUM(G13+G79),1)</f>
        <v>-491.2</v>
      </c>
      <c r="H81" s="274"/>
      <c r="I81" s="74">
        <f>ROUND(SUM(I13+I79),1)</f>
        <v>-473.3</v>
      </c>
      <c r="J81" s="274"/>
      <c r="K81" s="74">
        <f>ROUND(SUM(K13+K79),1)</f>
        <v>-517.79999999999995</v>
      </c>
      <c r="L81" s="274"/>
      <c r="M81" s="74">
        <f>ROUND(SUM(M13+M79),1)</f>
        <v>-504.6</v>
      </c>
      <c r="N81" s="274"/>
      <c r="O81" s="74">
        <f>ROUND(SUM(O13+O79),1)</f>
        <v>-480.3</v>
      </c>
      <c r="P81" s="274"/>
      <c r="Q81" s="74">
        <f>ROUND(SUM(Q13+Q79),1)</f>
        <v>-507.7</v>
      </c>
      <c r="R81" s="274"/>
      <c r="S81" s="74">
        <f>ROUND(SUM(S13+S79),1)</f>
        <v>-478.9</v>
      </c>
      <c r="T81" s="274"/>
      <c r="U81" s="74">
        <f>ROUND(SUM(U13+U79),1)</f>
        <v>-446.8</v>
      </c>
      <c r="V81" s="274"/>
      <c r="W81" s="74">
        <f>ROUND(SUM(W13+W79),1)</f>
        <v>-457.5</v>
      </c>
      <c r="X81" s="274"/>
      <c r="Y81" s="74">
        <f>ROUND(SUM(Y13+Y79),1)</f>
        <v>-364</v>
      </c>
      <c r="Z81" s="274"/>
      <c r="AA81" s="74">
        <f>ROUND(SUM(AA13+AA79),1)</f>
        <v>0</v>
      </c>
      <c r="AB81" s="274"/>
      <c r="AC81" s="535"/>
      <c r="AD81" s="74">
        <f>ROUND(SUM(AD13+AD79),1)</f>
        <v>-364</v>
      </c>
      <c r="AE81" s="1863"/>
      <c r="AF81" s="1864"/>
      <c r="AG81" s="74">
        <f>ROUND(SUM(AG13+AG79),1)</f>
        <v>-504.3</v>
      </c>
      <c r="AH81" s="1863"/>
      <c r="AI81" s="1865"/>
      <c r="AJ81" s="74">
        <f>ROUND(SUM(AJ13+AJ79),1)</f>
        <v>140.30000000000001</v>
      </c>
      <c r="AK81" s="3"/>
      <c r="AL81" s="1001">
        <f>ROUND(SUM(AD81-AG81)/ABS(AG81),3)</f>
        <v>0.27800000000000002</v>
      </c>
      <c r="AM81" s="1712"/>
      <c r="AN81" s="1712"/>
    </row>
    <row r="82" spans="1:40" ht="16" thickTop="1">
      <c r="A82" s="301"/>
      <c r="B82" s="301"/>
      <c r="C82" s="301"/>
      <c r="D82" s="301"/>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40"/>
      <c r="AL82" s="1866"/>
    </row>
    <row r="83" spans="1:40">
      <c r="A83" s="301"/>
      <c r="B83" s="948"/>
      <c r="C83" s="301"/>
      <c r="D83" s="301"/>
      <c r="E83" s="301"/>
      <c r="F83" s="301"/>
      <c r="G83" s="301"/>
      <c r="H83" s="301"/>
      <c r="I83" s="301"/>
      <c r="J83" s="301"/>
      <c r="K83" s="301"/>
      <c r="L83" s="301"/>
      <c r="M83" s="301"/>
      <c r="N83" s="301"/>
      <c r="O83" s="301"/>
      <c r="P83" s="301"/>
      <c r="Q83" s="301"/>
      <c r="R83" s="301"/>
      <c r="S83" s="416" t="s">
        <v>103</v>
      </c>
      <c r="T83" s="301"/>
      <c r="U83" s="416" t="s">
        <v>103</v>
      </c>
      <c r="V83" s="301"/>
      <c r="W83" s="301"/>
      <c r="X83" s="301"/>
      <c r="Y83" s="301"/>
      <c r="Z83" s="301"/>
      <c r="AA83" s="301"/>
      <c r="AB83" s="301"/>
      <c r="AC83" s="301"/>
      <c r="AD83" s="301"/>
      <c r="AE83" s="301"/>
      <c r="AF83" s="301"/>
      <c r="AG83" s="301"/>
      <c r="AH83" s="301"/>
      <c r="AI83" s="301"/>
      <c r="AL83" s="101"/>
    </row>
    <row r="84" spans="1:40">
      <c r="B84" s="301"/>
      <c r="Y84" s="907" t="s">
        <v>103</v>
      </c>
      <c r="AJ84" s="23" t="s">
        <v>103</v>
      </c>
      <c r="AL84" s="101"/>
    </row>
    <row r="89" spans="1:40">
      <c r="AD89" s="12"/>
    </row>
  </sheetData>
  <mergeCells count="1">
    <mergeCell ref="AC9:AL9"/>
  </mergeCells>
  <printOptions horizontalCentered="1"/>
  <pageMargins left="0.25" right="0.25" top="0.5" bottom="0.25" header="0" footer="0.25"/>
  <pageSetup scale="43" firstPageNumber="34" fitToHeight="0" orientation="landscape" useFirstPageNumber="1" r:id="rId1"/>
  <headerFooter scaleWithDoc="0" alignWithMargins="0">
    <oddFooter>&amp;C&amp;8&amp;P</oddFooter>
  </headerFooter>
  <customProperties>
    <customPr name="SheetOptions" r:id="rId2"/>
  </customProperties>
  <ignoredErrors>
    <ignoredError sqref="AL29:AL32 AL61:AL64 AL56:AL57 AL34:AL36 AL20:AL28 AL37:AL39 AL51:AL53 AL72:AL73 AL49 AL43 AL41" unlockedFormula="1"/>
    <ignoredError sqref="AL50"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80" workbookViewId="0"/>
  </sheetViews>
  <sheetFormatPr defaultColWidth="8.69140625" defaultRowHeight="15.5"/>
  <cols>
    <col min="1" max="1" width="40.07421875" style="62" customWidth="1"/>
    <col min="2" max="2" width="1.69140625" style="62" customWidth="1"/>
    <col min="3" max="3" width="11.69140625" style="62" customWidth="1"/>
    <col min="4" max="4" width="1.69140625" style="62" customWidth="1"/>
    <col min="5" max="5" width="11.69140625" style="62" customWidth="1"/>
    <col min="6" max="6" width="1.69140625" style="62" customWidth="1"/>
    <col min="7" max="7" width="11.69140625" style="62" customWidth="1"/>
    <col min="8" max="8" width="1.69140625" style="62" customWidth="1"/>
    <col min="9" max="9" width="11.69140625" style="62" customWidth="1"/>
    <col min="10" max="10" width="1.53515625" style="62" customWidth="1"/>
    <col min="11" max="11" width="11.69140625" style="62" customWidth="1"/>
    <col min="12" max="12" width="1.53515625" style="62" customWidth="1"/>
    <col min="13" max="13" width="12.69140625" style="62" customWidth="1"/>
    <col min="14" max="14" width="1.69140625" style="62" customWidth="1"/>
    <col min="15" max="15" width="11.69140625" style="62" customWidth="1"/>
    <col min="16" max="16" width="1.69140625" style="62" customWidth="1"/>
    <col min="17" max="17" width="11.69140625" style="62" customWidth="1"/>
    <col min="18" max="18" width="1.69140625" style="62" customWidth="1"/>
    <col min="19" max="19" width="11.69140625" style="62" customWidth="1"/>
    <col min="20" max="20" width="1.69140625" style="62" customWidth="1"/>
    <col min="21" max="21" width="11.69140625" style="62" customWidth="1"/>
    <col min="22" max="22" width="1.69140625" style="62" customWidth="1"/>
    <col min="23" max="23" width="11.69140625" style="62" customWidth="1"/>
    <col min="24" max="24" width="1.69140625" style="62" customWidth="1"/>
    <col min="25" max="25" width="11.69140625" style="62" customWidth="1"/>
    <col min="26" max="27" width="1.07421875" style="62" customWidth="1"/>
    <col min="28" max="28" width="11.69140625" style="62" customWidth="1"/>
    <col min="29" max="30" width="1.07421875" style="62" customWidth="1"/>
    <col min="31" max="31" width="11.69140625" style="62" customWidth="1"/>
    <col min="32" max="32" width="1.07421875" style="112" customWidth="1"/>
    <col min="33" max="33" width="1.07421875" style="301" customWidth="1"/>
    <col min="34" max="34" width="11.69140625" style="301" customWidth="1"/>
    <col min="35" max="35" width="1.69140625" style="301" customWidth="1"/>
    <col min="36" max="36" width="11.69140625" style="301" customWidth="1"/>
    <col min="37" max="38" width="9.07421875" style="62" bestFit="1" customWidth="1"/>
    <col min="39" max="16384" width="8.69140625" style="62"/>
  </cols>
  <sheetData>
    <row r="1" spans="1:38">
      <c r="A1" s="275" t="s">
        <v>97</v>
      </c>
    </row>
    <row r="2" spans="1:38">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row>
    <row r="3" spans="1:38">
      <c r="A3" s="192" t="s">
        <v>98</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301"/>
      <c r="AJ3" s="327" t="s">
        <v>597</v>
      </c>
    </row>
    <row r="4" spans="1:38">
      <c r="A4" s="192" t="s">
        <v>598</v>
      </c>
      <c r="B4" s="66"/>
      <c r="C4" s="66"/>
      <c r="D4" s="66"/>
      <c r="E4" s="66"/>
      <c r="F4" s="66"/>
      <c r="G4" s="66"/>
      <c r="H4" s="66"/>
      <c r="I4" s="66" t="s">
        <v>103</v>
      </c>
      <c r="J4" s="66"/>
      <c r="K4" s="66"/>
      <c r="L4" s="66"/>
      <c r="M4" s="66"/>
      <c r="N4" s="66"/>
      <c r="O4" s="66"/>
      <c r="P4" s="66"/>
      <c r="Q4" s="66"/>
      <c r="R4" s="66"/>
      <c r="S4" s="66"/>
      <c r="T4" s="66"/>
      <c r="U4" s="66"/>
      <c r="V4" s="66"/>
      <c r="W4" s="66"/>
      <c r="X4" s="66"/>
      <c r="Y4" s="66" t="s">
        <v>103</v>
      </c>
      <c r="Z4" s="66"/>
      <c r="AA4" s="66"/>
      <c r="AB4" s="66"/>
      <c r="AC4" s="66"/>
      <c r="AD4" s="66"/>
      <c r="AE4" s="66"/>
      <c r="AF4" s="301"/>
    </row>
    <row r="5" spans="1:38">
      <c r="A5" s="193" t="s">
        <v>335</v>
      </c>
      <c r="B5" s="66"/>
      <c r="C5" s="66"/>
      <c r="D5" s="66"/>
      <c r="E5" s="66"/>
      <c r="F5" s="66"/>
      <c r="G5" s="66"/>
      <c r="H5" s="66"/>
      <c r="I5" s="66"/>
      <c r="J5" s="66"/>
      <c r="K5" s="66"/>
      <c r="L5" s="66"/>
      <c r="M5" s="66"/>
      <c r="N5" s="66"/>
      <c r="O5" s="66"/>
      <c r="P5" s="66"/>
      <c r="Q5" s="66"/>
      <c r="R5" s="66"/>
      <c r="S5" s="66"/>
      <c r="T5" s="66"/>
      <c r="U5" s="66"/>
      <c r="V5" s="66"/>
      <c r="W5" s="66"/>
      <c r="X5" s="66"/>
      <c r="Y5" s="66"/>
      <c r="Z5" s="66"/>
      <c r="AA5" s="66"/>
      <c r="AF5" s="1247"/>
      <c r="AK5" s="192"/>
    </row>
    <row r="6" spans="1:38">
      <c r="A6" s="193" t="str">
        <f>'Cashflow Governmental'!A6</f>
        <v>FISCAL YEAR 2024-2025</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301"/>
    </row>
    <row r="7" spans="1:38">
      <c r="A7" s="192" t="s">
        <v>102</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6"/>
      <c r="AD7" s="66"/>
      <c r="AE7" s="66"/>
      <c r="AF7" s="301"/>
    </row>
    <row r="8" spans="1:38">
      <c r="A8" s="192"/>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301"/>
    </row>
    <row r="9" spans="1:38">
      <c r="A9" s="66"/>
      <c r="B9" s="66"/>
      <c r="C9" s="1161"/>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301"/>
    </row>
    <row r="10" spans="1:38">
      <c r="A10" s="66"/>
      <c r="B10" s="66"/>
      <c r="C10" s="1161"/>
      <c r="D10" s="66"/>
      <c r="E10" s="66"/>
      <c r="F10" s="66"/>
      <c r="G10" s="66"/>
      <c r="H10" s="66"/>
      <c r="I10" s="66"/>
      <c r="J10" s="66"/>
      <c r="K10" s="66"/>
      <c r="L10" s="66"/>
      <c r="M10" s="66"/>
      <c r="N10" s="66"/>
      <c r="O10" s="66"/>
      <c r="P10" s="66"/>
      <c r="Q10" s="66"/>
      <c r="R10" s="66"/>
      <c r="S10" s="66"/>
      <c r="T10" s="66"/>
      <c r="U10" s="66"/>
      <c r="V10" s="66"/>
      <c r="W10" s="66"/>
      <c r="X10" s="66"/>
      <c r="Y10" s="66"/>
      <c r="Z10" s="66"/>
      <c r="AA10" s="2124" t="str">
        <f>'Cashflow Governmental'!$AB$12</f>
        <v>11 Months Ended February 28</v>
      </c>
      <c r="AB10" s="2124"/>
      <c r="AC10" s="2124"/>
      <c r="AD10" s="2124"/>
      <c r="AE10" s="2124"/>
      <c r="AF10" s="2124"/>
      <c r="AG10" s="2124"/>
      <c r="AH10" s="2124"/>
      <c r="AI10" s="2124"/>
      <c r="AJ10" s="2124"/>
    </row>
    <row r="11" spans="1:38">
      <c r="A11" s="66"/>
      <c r="B11" s="66"/>
      <c r="C11" s="570" t="str">
        <f>'Cashflow Governmental'!C13</f>
        <v>2024</v>
      </c>
      <c r="D11" s="192"/>
      <c r="E11" s="192"/>
      <c r="F11" s="192"/>
      <c r="G11" s="192"/>
      <c r="H11" s="192"/>
      <c r="I11" s="192"/>
      <c r="J11" s="192"/>
      <c r="K11" s="192"/>
      <c r="L11" s="192"/>
      <c r="M11" s="192"/>
      <c r="N11" s="192"/>
      <c r="O11" s="192"/>
      <c r="P11" s="192"/>
      <c r="Q11" s="192"/>
      <c r="R11" s="192"/>
      <c r="S11" s="192"/>
      <c r="T11" s="192"/>
      <c r="U11" s="570">
        <f>'Cashflow Governmental'!U13</f>
        <v>2025</v>
      </c>
      <c r="V11" s="192"/>
      <c r="W11" s="192"/>
      <c r="X11" s="192"/>
      <c r="Y11" s="192"/>
      <c r="Z11" s="192"/>
      <c r="AA11" s="192"/>
      <c r="AB11" s="192"/>
      <c r="AC11" s="192"/>
      <c r="AD11" s="192"/>
      <c r="AE11" s="192"/>
      <c r="AF11" s="1636"/>
      <c r="AG11" s="1637"/>
      <c r="AH11" s="330" t="s">
        <v>110</v>
      </c>
      <c r="AI11" s="330"/>
      <c r="AJ11" s="328" t="s">
        <v>111</v>
      </c>
    </row>
    <row r="12" spans="1:38">
      <c r="A12" s="66"/>
      <c r="B12" s="66"/>
      <c r="C12" s="327" t="s">
        <v>336</v>
      </c>
      <c r="D12" s="192"/>
      <c r="E12" s="327" t="s">
        <v>337</v>
      </c>
      <c r="F12" s="192"/>
      <c r="G12" s="327" t="s">
        <v>338</v>
      </c>
      <c r="H12" s="192"/>
      <c r="I12" s="327" t="s">
        <v>339</v>
      </c>
      <c r="J12" s="192"/>
      <c r="K12" s="327" t="s">
        <v>340</v>
      </c>
      <c r="L12" s="192"/>
      <c r="M12" s="327" t="s">
        <v>453</v>
      </c>
      <c r="N12" s="192"/>
      <c r="O12" s="327" t="s">
        <v>454</v>
      </c>
      <c r="P12" s="192"/>
      <c r="Q12" s="327" t="s">
        <v>343</v>
      </c>
      <c r="R12" s="192"/>
      <c r="S12" s="327" t="s">
        <v>344</v>
      </c>
      <c r="T12" s="192"/>
      <c r="U12" s="327" t="s">
        <v>345</v>
      </c>
      <c r="V12" s="192"/>
      <c r="W12" s="327" t="s">
        <v>346</v>
      </c>
      <c r="X12" s="192"/>
      <c r="Y12" s="327" t="s">
        <v>455</v>
      </c>
      <c r="Z12" s="192"/>
      <c r="AA12" s="192"/>
      <c r="AB12" s="570" t="str">
        <f>'Cashflow Governmental'!AB14</f>
        <v>2025</v>
      </c>
      <c r="AC12" s="192" t="s">
        <v>103</v>
      </c>
      <c r="AD12" s="192"/>
      <c r="AE12" s="570" t="str">
        <f>'Cashflow Governmental'!AE14</f>
        <v>2024</v>
      </c>
      <c r="AF12" s="301"/>
      <c r="AG12" s="1638"/>
      <c r="AH12" s="426" t="s">
        <v>112</v>
      </c>
      <c r="AI12" s="330"/>
      <c r="AJ12" s="426" t="s">
        <v>113</v>
      </c>
    </row>
    <row r="13" spans="1:38" ht="8.75" customHeight="1">
      <c r="A13" s="66"/>
      <c r="B13" s="66"/>
      <c r="C13" s="1038"/>
      <c r="D13" s="66"/>
      <c r="E13" s="1038"/>
      <c r="F13" s="66"/>
      <c r="G13" s="1038"/>
      <c r="H13" s="66"/>
      <c r="I13" s="1038"/>
      <c r="J13" s="66"/>
      <c r="K13" s="1038"/>
      <c r="L13" s="66"/>
      <c r="M13" s="1038"/>
      <c r="N13" s="66"/>
      <c r="O13" s="1038"/>
      <c r="P13" s="66"/>
      <c r="Q13" s="1038"/>
      <c r="R13" s="66"/>
      <c r="S13" s="1038"/>
      <c r="T13" s="66"/>
      <c r="U13" s="1038"/>
      <c r="V13" s="66"/>
      <c r="W13" s="1038"/>
      <c r="X13" s="66"/>
      <c r="Y13" s="1038"/>
      <c r="Z13" s="66"/>
      <c r="AA13" s="66"/>
      <c r="AB13" s="1038"/>
      <c r="AC13" s="66"/>
      <c r="AD13" s="66"/>
      <c r="AE13" s="1038"/>
      <c r="AF13" s="301"/>
      <c r="AG13" s="1638"/>
    </row>
    <row r="14" spans="1:38">
      <c r="A14" s="193" t="s">
        <v>348</v>
      </c>
      <c r="B14" s="66"/>
      <c r="C14" s="87">
        <v>648</v>
      </c>
      <c r="D14" s="195"/>
      <c r="E14" s="195">
        <f>C49</f>
        <v>869.7</v>
      </c>
      <c r="F14" s="195"/>
      <c r="G14" s="195">
        <f>E49</f>
        <v>607.1</v>
      </c>
      <c r="H14" s="1639"/>
      <c r="I14" s="195">
        <f>G49</f>
        <v>641.5</v>
      </c>
      <c r="J14" s="195"/>
      <c r="K14" s="195">
        <f>I49</f>
        <v>944</v>
      </c>
      <c r="L14" s="1639"/>
      <c r="M14" s="195">
        <f>K49</f>
        <v>754.9</v>
      </c>
      <c r="N14" s="1639"/>
      <c r="O14" s="195">
        <f>M49</f>
        <v>567.4</v>
      </c>
      <c r="P14" s="1639"/>
      <c r="Q14" s="195">
        <f>O49</f>
        <v>558</v>
      </c>
      <c r="R14" s="195"/>
      <c r="S14" s="195">
        <f>Q49</f>
        <v>562.29999999999995</v>
      </c>
      <c r="T14" s="195"/>
      <c r="U14" s="195">
        <f>S49</f>
        <v>696.1</v>
      </c>
      <c r="V14" s="195"/>
      <c r="W14" s="195">
        <f>U49</f>
        <v>794.9</v>
      </c>
      <c r="X14" s="195"/>
      <c r="Y14" s="195"/>
      <c r="Z14" s="195"/>
      <c r="AA14" s="878"/>
      <c r="AB14" s="195">
        <f>C14</f>
        <v>648</v>
      </c>
      <c r="AC14" s="195"/>
      <c r="AD14" s="878"/>
      <c r="AE14" s="2073">
        <v>510.4</v>
      </c>
      <c r="AF14" s="298"/>
      <c r="AG14" s="1822"/>
      <c r="AH14" s="20">
        <f>ROUND(SUM(AB14-AE14),1)</f>
        <v>137.6</v>
      </c>
      <c r="AJ14" s="1849">
        <f>ROUND(IF(AH14=0,0,AH14/(AE14)),3)</f>
        <v>0.27</v>
      </c>
      <c r="AK14" s="1610"/>
      <c r="AL14" s="1610"/>
    </row>
    <row r="15" spans="1:38">
      <c r="A15" s="66"/>
      <c r="B15" s="66"/>
      <c r="C15" s="66" t="s">
        <v>103</v>
      </c>
      <c r="D15" s="66"/>
      <c r="E15" s="197"/>
      <c r="F15" s="197"/>
      <c r="G15" s="197"/>
      <c r="H15" s="197"/>
      <c r="I15" s="197"/>
      <c r="J15" s="197"/>
      <c r="K15" s="197"/>
      <c r="L15" s="197"/>
      <c r="M15" s="197"/>
      <c r="N15" s="197"/>
      <c r="O15" s="197"/>
      <c r="P15" s="197"/>
      <c r="Q15" s="197"/>
      <c r="R15" s="197"/>
      <c r="S15" s="197"/>
      <c r="T15" s="197"/>
      <c r="U15" s="197"/>
      <c r="V15" s="197"/>
      <c r="W15" s="197"/>
      <c r="X15" s="197"/>
      <c r="Y15" s="197"/>
      <c r="Z15" s="66"/>
      <c r="AA15" s="879"/>
      <c r="AB15" s="66" t="s">
        <v>103</v>
      </c>
      <c r="AC15" s="66"/>
      <c r="AD15" s="879"/>
      <c r="AE15" s="66" t="s">
        <v>103</v>
      </c>
      <c r="AF15" s="26"/>
      <c r="AG15" s="1822"/>
      <c r="AJ15" s="1850"/>
      <c r="AK15" s="1610"/>
      <c r="AL15" s="1610"/>
    </row>
    <row r="16" spans="1:38">
      <c r="A16" s="192" t="s">
        <v>114</v>
      </c>
      <c r="B16" s="66"/>
      <c r="C16" s="66"/>
      <c r="D16" s="66"/>
      <c r="E16" s="197"/>
      <c r="F16" s="197"/>
      <c r="G16" s="197"/>
      <c r="H16" s="197"/>
      <c r="I16" s="197"/>
      <c r="J16" s="197"/>
      <c r="K16" s="197"/>
      <c r="L16" s="197"/>
      <c r="M16" s="197"/>
      <c r="N16" s="197"/>
      <c r="O16" s="197"/>
      <c r="P16" s="197"/>
      <c r="Q16" s="197"/>
      <c r="R16" s="197"/>
      <c r="S16" s="197"/>
      <c r="T16" s="197"/>
      <c r="U16" s="197"/>
      <c r="V16" s="197"/>
      <c r="W16" s="197"/>
      <c r="X16" s="197"/>
      <c r="Y16" s="197"/>
      <c r="Z16" s="66"/>
      <c r="AA16" s="879"/>
      <c r="AB16" s="66"/>
      <c r="AC16" s="66"/>
      <c r="AD16" s="879"/>
      <c r="AE16" s="66"/>
      <c r="AF16" s="274"/>
      <c r="AG16" s="1822"/>
      <c r="AJ16" s="1850"/>
      <c r="AK16" s="1610"/>
      <c r="AL16" s="1610"/>
    </row>
    <row r="17" spans="1:38">
      <c r="A17" s="66" t="s">
        <v>599</v>
      </c>
      <c r="B17" s="66"/>
      <c r="C17" s="199">
        <v>462.9</v>
      </c>
      <c r="D17" s="199"/>
      <c r="E17" s="199">
        <v>27.000000000000057</v>
      </c>
      <c r="F17" s="199"/>
      <c r="G17" s="199">
        <v>271.3</v>
      </c>
      <c r="H17" s="110"/>
      <c r="I17" s="199">
        <v>558</v>
      </c>
      <c r="J17" s="110"/>
      <c r="K17" s="199">
        <v>117.79999999999995</v>
      </c>
      <c r="L17" s="110"/>
      <c r="M17" s="199">
        <v>209.09999999999991</v>
      </c>
      <c r="N17" s="110"/>
      <c r="O17" s="199">
        <v>338.40000000000009</v>
      </c>
      <c r="P17" s="110"/>
      <c r="Q17" s="199">
        <v>257.30000000000018</v>
      </c>
      <c r="R17" s="199"/>
      <c r="S17" s="199">
        <v>365.29999999999973</v>
      </c>
      <c r="T17" s="199"/>
      <c r="U17" s="199">
        <v>359.90000000000009</v>
      </c>
      <c r="V17" s="199"/>
      <c r="W17" s="199">
        <f>$AB17-SUM($C17:U17)</f>
        <v>373.80000000000018</v>
      </c>
      <c r="X17" s="199"/>
      <c r="Y17" s="199"/>
      <c r="Z17" s="199"/>
      <c r="AA17" s="882"/>
      <c r="AB17" s="542">
        <v>3340.8</v>
      </c>
      <c r="AC17" s="274"/>
      <c r="AD17" s="535" t="s">
        <v>103</v>
      </c>
      <c r="AE17" s="542">
        <v>2976</v>
      </c>
      <c r="AF17" s="274"/>
      <c r="AG17" s="1822"/>
      <c r="AH17" s="434">
        <f>ROUND(AB17-AE17,1)</f>
        <v>364.8</v>
      </c>
      <c r="AI17" s="278"/>
      <c r="AJ17" s="553">
        <f>ROUND(IF(AE17=0,0,AH17/ABS(AE17)),3)</f>
        <v>0.123</v>
      </c>
      <c r="AK17" s="1610"/>
      <c r="AL17" s="1610"/>
    </row>
    <row r="18" spans="1:38">
      <c r="A18" s="193" t="s">
        <v>1534</v>
      </c>
      <c r="B18" s="66"/>
      <c r="C18" s="199">
        <v>1.7</v>
      </c>
      <c r="D18" s="199"/>
      <c r="E18" s="199">
        <v>1.5999999999999999</v>
      </c>
      <c r="F18" s="110"/>
      <c r="G18" s="199">
        <v>1.2</v>
      </c>
      <c r="H18" s="110"/>
      <c r="I18" s="199">
        <v>1.2000000000000004</v>
      </c>
      <c r="J18" s="110"/>
      <c r="K18" s="199">
        <v>1.2</v>
      </c>
      <c r="L18" s="110"/>
      <c r="M18" s="199">
        <v>1.1999999999999995</v>
      </c>
      <c r="N18" s="110"/>
      <c r="O18" s="199">
        <v>1.1000000000000014</v>
      </c>
      <c r="P18" s="110"/>
      <c r="Q18" s="199">
        <v>0.99999999999999822</v>
      </c>
      <c r="R18" s="110"/>
      <c r="S18" s="199">
        <v>1</v>
      </c>
      <c r="T18" s="110"/>
      <c r="U18" s="199">
        <v>0.80000000000000071</v>
      </c>
      <c r="V18" s="110"/>
      <c r="W18" s="199">
        <f>$AB18-SUM($C18:U18)</f>
        <v>0.90000000000000036</v>
      </c>
      <c r="X18" s="110"/>
      <c r="Y18" s="199"/>
      <c r="Z18" s="199"/>
      <c r="AA18" s="882"/>
      <c r="AB18" s="542">
        <v>12.9</v>
      </c>
      <c r="AC18" s="274"/>
      <c r="AD18" s="535" t="s">
        <v>103</v>
      </c>
      <c r="AE18" s="542">
        <v>23.6</v>
      </c>
      <c r="AF18" s="274"/>
      <c r="AG18" s="1822"/>
      <c r="AH18" s="434">
        <f>ROUND(AB18-AE18,1)</f>
        <v>-10.7</v>
      </c>
      <c r="AI18" s="278"/>
      <c r="AJ18" s="553">
        <f>ROUND(IF(AE18=0,0,AH18/ABS(AE18)),3)</f>
        <v>-0.45300000000000001</v>
      </c>
      <c r="AK18" s="1610"/>
      <c r="AL18" s="1610"/>
    </row>
    <row r="19" spans="1:38">
      <c r="A19" s="1045" t="s">
        <v>600</v>
      </c>
      <c r="B19" s="66"/>
      <c r="C19" s="199">
        <v>274.7</v>
      </c>
      <c r="D19" s="199"/>
      <c r="E19" s="199">
        <v>209.8</v>
      </c>
      <c r="F19" s="110"/>
      <c r="G19" s="199">
        <v>200.5</v>
      </c>
      <c r="H19" s="110"/>
      <c r="I19" s="199">
        <v>266.60000000000008</v>
      </c>
      <c r="J19" s="110"/>
      <c r="K19" s="199">
        <v>235.19999999999987</v>
      </c>
      <c r="L19" s="110"/>
      <c r="M19" s="199">
        <v>234.60000000000014</v>
      </c>
      <c r="N19" s="110"/>
      <c r="O19" s="199">
        <v>214.59999999999991</v>
      </c>
      <c r="P19" s="110"/>
      <c r="Q19" s="199">
        <v>205.59999999999991</v>
      </c>
      <c r="R19" s="110"/>
      <c r="S19" s="199">
        <v>286.20000000000027</v>
      </c>
      <c r="T19" s="110"/>
      <c r="U19" s="199">
        <v>277</v>
      </c>
      <c r="V19" s="110"/>
      <c r="W19" s="199">
        <f>$AB19-SUM($C19:U19)</f>
        <v>262.69999999999982</v>
      </c>
      <c r="X19" s="110"/>
      <c r="Y19" s="199"/>
      <c r="Z19" s="199"/>
      <c r="AA19" s="882"/>
      <c r="AB19" s="542">
        <v>2667.5</v>
      </c>
      <c r="AC19" s="274"/>
      <c r="AD19" s="535" t="s">
        <v>103</v>
      </c>
      <c r="AE19" s="542">
        <v>2494.9</v>
      </c>
      <c r="AF19" s="285"/>
      <c r="AG19" s="413"/>
      <c r="AH19" s="1104">
        <f>ROUND(AB19-AE19,1)</f>
        <v>172.6</v>
      </c>
      <c r="AI19" s="278"/>
      <c r="AJ19" s="1053">
        <f>ROUND(IF(AE19=0,0,AH19/ABS(AE19)),3)</f>
        <v>6.9000000000000006E-2</v>
      </c>
      <c r="AK19" s="1610"/>
      <c r="AL19" s="1610"/>
    </row>
    <row r="20" spans="1:38">
      <c r="A20" s="66"/>
      <c r="B20" s="66"/>
      <c r="C20" s="1049"/>
      <c r="D20" s="199"/>
      <c r="E20" s="1641"/>
      <c r="F20" s="110"/>
      <c r="G20" s="1641"/>
      <c r="H20" s="110"/>
      <c r="I20" s="1641"/>
      <c r="J20" s="110"/>
      <c r="K20" s="1641"/>
      <c r="L20" s="110"/>
      <c r="M20" s="1641"/>
      <c r="N20" s="110"/>
      <c r="O20" s="1641"/>
      <c r="P20" s="110"/>
      <c r="Q20" s="1641"/>
      <c r="R20" s="110"/>
      <c r="S20" s="1641"/>
      <c r="T20" s="110"/>
      <c r="U20" s="1641"/>
      <c r="V20" s="110"/>
      <c r="W20" s="1642"/>
      <c r="X20" s="110"/>
      <c r="Y20" s="1641"/>
      <c r="Z20" s="199"/>
      <c r="AA20" s="882"/>
      <c r="AB20" s="1049"/>
      <c r="AC20" s="199"/>
      <c r="AD20" s="882"/>
      <c r="AE20" s="1049"/>
      <c r="AF20" s="299"/>
      <c r="AG20" s="413"/>
      <c r="AH20" s="274"/>
      <c r="AJ20" s="1850"/>
      <c r="AK20" s="1610"/>
      <c r="AL20" s="1610"/>
    </row>
    <row r="21" spans="1:38">
      <c r="A21" s="192" t="s">
        <v>435</v>
      </c>
      <c r="B21" s="66"/>
      <c r="C21" s="209">
        <f>ROUND(SUM(C17:C20),1)</f>
        <v>739.3</v>
      </c>
      <c r="D21" s="202"/>
      <c r="E21" s="209">
        <f>ROUND(SUM(E17:E20),1)</f>
        <v>238.4</v>
      </c>
      <c r="F21" s="209"/>
      <c r="G21" s="209">
        <f>ROUND(SUM(G17:G20),1)</f>
        <v>473</v>
      </c>
      <c r="H21" s="209"/>
      <c r="I21" s="209">
        <f>ROUND(SUM(I17:I20),1)</f>
        <v>825.8</v>
      </c>
      <c r="J21" s="209"/>
      <c r="K21" s="209">
        <f>ROUND(SUM(K17:K20),1)</f>
        <v>354.2</v>
      </c>
      <c r="L21" s="209"/>
      <c r="M21" s="209">
        <f>ROUND(SUM(M17:M20),1)</f>
        <v>444.9</v>
      </c>
      <c r="N21" s="209"/>
      <c r="O21" s="209">
        <f>ROUND(SUM(O17:O20),1)</f>
        <v>554.1</v>
      </c>
      <c r="P21" s="209"/>
      <c r="Q21" s="209">
        <f>ROUND(SUM(Q17:Q20),1)</f>
        <v>463.9</v>
      </c>
      <c r="R21" s="209"/>
      <c r="S21" s="209">
        <f>ROUND(SUM(S17:S20),1)</f>
        <v>652.5</v>
      </c>
      <c r="T21" s="209"/>
      <c r="U21" s="209">
        <f>ROUND(SUM(U17:U20),1)</f>
        <v>637.70000000000005</v>
      </c>
      <c r="V21" s="209"/>
      <c r="W21" s="209">
        <f>ROUND(SUM(W17:W20),1)</f>
        <v>637.4</v>
      </c>
      <c r="X21" s="209"/>
      <c r="Y21" s="209">
        <f>ROUND(SUM(Y17:Y20),1)</f>
        <v>0</v>
      </c>
      <c r="Z21" s="202"/>
      <c r="AA21" s="885"/>
      <c r="AB21" s="209">
        <f>ROUND(SUM(AB17:AB20),1)</f>
        <v>6021.2</v>
      </c>
      <c r="AC21" s="1851"/>
      <c r="AD21" s="202"/>
      <c r="AE21" s="209">
        <f>ROUND(SUM(AE17:AE20),1)</f>
        <v>5494.5</v>
      </c>
      <c r="AF21" s="285"/>
      <c r="AG21" s="413"/>
      <c r="AH21" s="367">
        <f>ROUND(SUM(AH17:AH19),1)</f>
        <v>526.70000000000005</v>
      </c>
      <c r="AI21" s="40"/>
      <c r="AJ21" s="1827">
        <f>ROUND(IF(AH21=0,0,AH21/ABS(AE21)),3)</f>
        <v>9.6000000000000002E-2</v>
      </c>
      <c r="AK21" s="1610"/>
      <c r="AL21" s="1610"/>
    </row>
    <row r="22" spans="1:38">
      <c r="A22" s="66"/>
      <c r="B22" s="66"/>
      <c r="C22" s="1049"/>
      <c r="D22" s="199"/>
      <c r="E22" s="1641"/>
      <c r="F22" s="110"/>
      <c r="G22" s="1641"/>
      <c r="H22" s="110"/>
      <c r="I22" s="1641"/>
      <c r="J22" s="110"/>
      <c r="K22" s="1641"/>
      <c r="L22" s="110"/>
      <c r="M22" s="1641"/>
      <c r="N22" s="110"/>
      <c r="O22" s="1641"/>
      <c r="P22" s="110"/>
      <c r="Q22" s="1641"/>
      <c r="R22" s="110"/>
      <c r="S22" s="1641"/>
      <c r="T22" s="110"/>
      <c r="U22" s="1641"/>
      <c r="V22" s="110"/>
      <c r="W22" s="1641"/>
      <c r="X22" s="110"/>
      <c r="Y22" s="1641"/>
      <c r="Z22" s="199"/>
      <c r="AA22" s="882"/>
      <c r="AB22" s="1049"/>
      <c r="AC22" s="199"/>
      <c r="AD22" s="882"/>
      <c r="AE22" s="1049"/>
      <c r="AF22" s="299"/>
      <c r="AG22" s="413"/>
      <c r="AH22" s="274"/>
      <c r="AJ22" s="1850"/>
      <c r="AK22" s="1610"/>
      <c r="AL22" s="1610"/>
    </row>
    <row r="23" spans="1:38">
      <c r="A23" s="66"/>
      <c r="B23" s="66"/>
      <c r="C23" s="199"/>
      <c r="D23" s="199"/>
      <c r="E23" s="110"/>
      <c r="F23" s="110"/>
      <c r="G23" s="110"/>
      <c r="H23" s="110"/>
      <c r="I23" s="110"/>
      <c r="J23" s="110"/>
      <c r="K23" s="110"/>
      <c r="L23" s="110"/>
      <c r="M23" s="110"/>
      <c r="N23" s="110"/>
      <c r="O23" s="110"/>
      <c r="P23" s="110"/>
      <c r="Q23" s="110"/>
      <c r="R23" s="110"/>
      <c r="S23" s="110"/>
      <c r="T23" s="110"/>
      <c r="U23" s="110"/>
      <c r="V23" s="110"/>
      <c r="W23" s="110"/>
      <c r="X23" s="110"/>
      <c r="Y23" s="110"/>
      <c r="Z23" s="199"/>
      <c r="AA23" s="882"/>
      <c r="AB23" s="199"/>
      <c r="AC23" s="199"/>
      <c r="AD23" s="882"/>
      <c r="AE23" s="199"/>
      <c r="AF23" s="274"/>
      <c r="AG23" s="1822"/>
      <c r="AH23" s="274"/>
      <c r="AJ23" s="1645"/>
      <c r="AK23" s="1610"/>
      <c r="AL23" s="1610"/>
    </row>
    <row r="24" spans="1:38">
      <c r="A24" s="192" t="s">
        <v>122</v>
      </c>
      <c r="B24" s="66"/>
      <c r="C24" s="199"/>
      <c r="D24" s="199"/>
      <c r="E24" s="110"/>
      <c r="F24" s="110"/>
      <c r="G24" s="110"/>
      <c r="H24" s="110"/>
      <c r="I24" s="110"/>
      <c r="J24" s="110"/>
      <c r="K24" s="110"/>
      <c r="L24" s="110"/>
      <c r="M24" s="110"/>
      <c r="N24" s="110"/>
      <c r="O24" s="110"/>
      <c r="P24" s="110"/>
      <c r="Q24" s="110"/>
      <c r="R24" s="110"/>
      <c r="S24" s="110"/>
      <c r="T24" s="110"/>
      <c r="U24" s="110"/>
      <c r="V24" s="110"/>
      <c r="W24" s="110"/>
      <c r="X24" s="110"/>
      <c r="Y24" s="110"/>
      <c r="Z24" s="199"/>
      <c r="AA24" s="882"/>
      <c r="AB24" s="199"/>
      <c r="AC24" s="199"/>
      <c r="AD24" s="882"/>
      <c r="AE24" s="199"/>
      <c r="AF24" s="274"/>
      <c r="AG24" s="1822"/>
      <c r="AH24" s="274"/>
      <c r="AI24" s="1643"/>
      <c r="AJ24" s="1645"/>
      <c r="AK24" s="1610"/>
      <c r="AL24" s="1610"/>
    </row>
    <row r="25" spans="1:38">
      <c r="A25" s="66" t="s">
        <v>461</v>
      </c>
      <c r="B25" s="66"/>
      <c r="C25" s="199"/>
      <c r="D25" s="199"/>
      <c r="E25" s="199"/>
      <c r="F25" s="110"/>
      <c r="G25" s="110"/>
      <c r="H25" s="110"/>
      <c r="I25" s="110"/>
      <c r="J25" s="110"/>
      <c r="K25" s="110"/>
      <c r="L25" s="110"/>
      <c r="M25" s="110"/>
      <c r="N25" s="110"/>
      <c r="O25" s="110"/>
      <c r="P25" s="110"/>
      <c r="Q25" s="110"/>
      <c r="R25" s="110"/>
      <c r="S25" s="1644"/>
      <c r="T25" s="110"/>
      <c r="U25" s="110"/>
      <c r="V25" s="110"/>
      <c r="W25" s="110"/>
      <c r="X25" s="110"/>
      <c r="Y25" s="110"/>
      <c r="Z25" s="199"/>
      <c r="AA25" s="882"/>
      <c r="AB25" s="199"/>
      <c r="AC25" s="199"/>
      <c r="AD25" s="882"/>
      <c r="AE25" s="199"/>
      <c r="AF25" s="26"/>
      <c r="AG25" s="413"/>
      <c r="AH25" s="274"/>
      <c r="AJ25" s="1645"/>
      <c r="AK25" s="1610"/>
      <c r="AL25" s="1610"/>
    </row>
    <row r="26" spans="1:38">
      <c r="A26" s="66" t="s">
        <v>601</v>
      </c>
      <c r="B26" s="66"/>
      <c r="C26" s="199">
        <v>138.6</v>
      </c>
      <c r="D26" s="199"/>
      <c r="E26" s="199">
        <v>194.80000000000004</v>
      </c>
      <c r="F26" s="110"/>
      <c r="G26" s="199">
        <v>127.09999999999994</v>
      </c>
      <c r="H26" s="110"/>
      <c r="I26" s="199">
        <v>140.6</v>
      </c>
      <c r="J26" s="110"/>
      <c r="K26" s="199">
        <v>130.4</v>
      </c>
      <c r="L26" s="110"/>
      <c r="M26" s="199">
        <v>142.49999999999997</v>
      </c>
      <c r="N26" s="110"/>
      <c r="O26" s="199">
        <v>231.59999999999991</v>
      </c>
      <c r="P26" s="110"/>
      <c r="Q26" s="199">
        <v>148.80000000000018</v>
      </c>
      <c r="R26" s="110"/>
      <c r="S26" s="199">
        <v>131</v>
      </c>
      <c r="T26" s="110"/>
      <c r="U26" s="199">
        <v>159.5</v>
      </c>
      <c r="V26" s="110"/>
      <c r="W26" s="199">
        <f>$AB26-SUM($C26:U26)</f>
        <v>139.39999999999986</v>
      </c>
      <c r="X26" s="110"/>
      <c r="Y26" s="199"/>
      <c r="Z26" s="199"/>
      <c r="AA26" s="882"/>
      <c r="AB26" s="542">
        <v>1684.3</v>
      </c>
      <c r="AC26" s="274"/>
      <c r="AD26" s="535" t="s">
        <v>103</v>
      </c>
      <c r="AE26" s="542">
        <v>1588.1</v>
      </c>
      <c r="AF26" s="274"/>
      <c r="AG26" s="1831"/>
      <c r="AH26" s="274">
        <f>ROUND(SUM(AB26-AE26),1)</f>
        <v>96.2</v>
      </c>
      <c r="AJ26" s="1669">
        <f>ROUND(IF(AH26=0,0,AH26/ABS(AE26)),3)</f>
        <v>6.0999999999999999E-2</v>
      </c>
      <c r="AK26" s="1610"/>
      <c r="AL26" s="1610"/>
    </row>
    <row r="27" spans="1:38">
      <c r="A27" s="66" t="s">
        <v>543</v>
      </c>
      <c r="B27" s="66"/>
      <c r="C27" s="199">
        <v>33.700000000000003</v>
      </c>
      <c r="D27" s="199"/>
      <c r="E27" s="199">
        <v>36.899999999999991</v>
      </c>
      <c r="F27" s="110"/>
      <c r="G27" s="199">
        <v>51.600000000000009</v>
      </c>
      <c r="H27" s="110"/>
      <c r="I27" s="199">
        <v>47.899999999999977</v>
      </c>
      <c r="J27" s="110"/>
      <c r="K27" s="199">
        <v>111.50000000000006</v>
      </c>
      <c r="L27" s="110"/>
      <c r="M27" s="199">
        <v>194.2</v>
      </c>
      <c r="N27" s="110"/>
      <c r="O27" s="199">
        <v>43.199999999999989</v>
      </c>
      <c r="P27" s="110"/>
      <c r="Q27" s="199">
        <v>40.700000000000045</v>
      </c>
      <c r="R27" s="110"/>
      <c r="S27" s="199">
        <v>36.199999999999932</v>
      </c>
      <c r="T27" s="110"/>
      <c r="U27" s="199">
        <v>40.700000000000045</v>
      </c>
      <c r="V27" s="110"/>
      <c r="W27" s="199">
        <f>$AB27-SUM($C27:U27)</f>
        <v>55.100000000000023</v>
      </c>
      <c r="X27" s="110"/>
      <c r="Y27" s="199"/>
      <c r="Z27" s="199"/>
      <c r="AA27" s="882"/>
      <c r="AB27" s="542">
        <v>691.7</v>
      </c>
      <c r="AC27" s="274"/>
      <c r="AD27" s="535" t="s">
        <v>103</v>
      </c>
      <c r="AE27" s="542">
        <v>599.29999999999995</v>
      </c>
      <c r="AF27" s="274"/>
      <c r="AG27" s="1831"/>
      <c r="AH27" s="274">
        <f>ROUND(SUM(AB27-AE27),1)</f>
        <v>92.4</v>
      </c>
      <c r="AJ27" s="1669">
        <f t="shared" ref="AJ27:AJ28" si="0">ROUND(IF(AH27=0,0,AH27/ABS(AE27)),3)</f>
        <v>0.154</v>
      </c>
      <c r="AK27" s="1610"/>
      <c r="AL27" s="1610"/>
    </row>
    <row r="28" spans="1:38">
      <c r="A28" s="66" t="s">
        <v>464</v>
      </c>
      <c r="B28" s="66"/>
      <c r="C28" s="199">
        <v>68.599999999999994</v>
      </c>
      <c r="D28" s="199"/>
      <c r="E28" s="199">
        <v>58.300000000000011</v>
      </c>
      <c r="F28" s="110"/>
      <c r="G28" s="199">
        <v>58.199999999999989</v>
      </c>
      <c r="H28" s="110"/>
      <c r="I28" s="199">
        <v>67</v>
      </c>
      <c r="J28" s="110"/>
      <c r="K28" s="199">
        <v>65.299999999999983</v>
      </c>
      <c r="L28" s="110"/>
      <c r="M28" s="199">
        <v>59.80000000000004</v>
      </c>
      <c r="N28" s="110"/>
      <c r="O28" s="199">
        <v>72.699999999999932</v>
      </c>
      <c r="P28" s="110"/>
      <c r="Q28" s="199">
        <v>63.5</v>
      </c>
      <c r="R28" s="110"/>
      <c r="S28" s="199">
        <v>64.100000000000023</v>
      </c>
      <c r="T28" s="110"/>
      <c r="U28" s="199">
        <v>65.5</v>
      </c>
      <c r="V28" s="110"/>
      <c r="W28" s="199">
        <f>$AB28-SUM($C28:U28)</f>
        <v>59.299999999999955</v>
      </c>
      <c r="X28" s="110"/>
      <c r="Y28" s="199"/>
      <c r="Z28" s="199"/>
      <c r="AA28" s="882"/>
      <c r="AB28" s="542">
        <v>702.3</v>
      </c>
      <c r="AC28" s="274"/>
      <c r="AD28" s="535" t="s">
        <v>103</v>
      </c>
      <c r="AE28" s="542">
        <v>658.8</v>
      </c>
      <c r="AF28" s="285"/>
      <c r="AG28" s="1836"/>
      <c r="AH28" s="274">
        <f>ROUND(SUM(AB28-AE28),1)</f>
        <v>43.5</v>
      </c>
      <c r="AJ28" s="1669">
        <f t="shared" si="0"/>
        <v>6.6000000000000003E-2</v>
      </c>
      <c r="AK28" s="1610"/>
      <c r="AL28" s="1610"/>
    </row>
    <row r="29" spans="1:38">
      <c r="A29" s="1045" t="s">
        <v>602</v>
      </c>
      <c r="B29" s="66"/>
      <c r="C29" s="199">
        <v>276.7</v>
      </c>
      <c r="D29" s="199"/>
      <c r="E29" s="199">
        <v>211</v>
      </c>
      <c r="F29" s="110"/>
      <c r="G29" s="199">
        <v>201.7</v>
      </c>
      <c r="H29" s="110"/>
      <c r="I29" s="199">
        <v>267.8</v>
      </c>
      <c r="J29" s="110"/>
      <c r="K29" s="199">
        <v>236.09999999999991</v>
      </c>
      <c r="L29" s="110"/>
      <c r="M29" s="199">
        <v>235.90000000000003</v>
      </c>
      <c r="N29" s="110"/>
      <c r="O29" s="199">
        <v>216</v>
      </c>
      <c r="P29" s="110"/>
      <c r="Q29" s="199">
        <v>206.59999999999991</v>
      </c>
      <c r="R29" s="110"/>
      <c r="S29" s="199">
        <v>287.39999999999986</v>
      </c>
      <c r="T29" s="110"/>
      <c r="U29" s="199">
        <v>273.20000000000027</v>
      </c>
      <c r="V29" s="110"/>
      <c r="W29" s="199">
        <f>$AB29-SUM($C29:U29)</f>
        <v>268</v>
      </c>
      <c r="X29" s="110"/>
      <c r="Y29" s="199"/>
      <c r="Z29" s="199"/>
      <c r="AA29" s="882"/>
      <c r="AB29" s="542">
        <v>2680.4</v>
      </c>
      <c r="AC29" s="274"/>
      <c r="AD29" s="535" t="s">
        <v>103</v>
      </c>
      <c r="AE29" s="542">
        <v>2568.8000000000002</v>
      </c>
      <c r="AF29" s="285"/>
      <c r="AG29" s="1831"/>
      <c r="AH29" s="393">
        <f>ROUND(SUM(AB29-AE29),1)</f>
        <v>111.6</v>
      </c>
      <c r="AJ29" s="1912">
        <f>ROUND(IF(AH29=0,0,AH29/ABS(AE29)),3)</f>
        <v>4.2999999999999997E-2</v>
      </c>
      <c r="AK29" s="1610"/>
      <c r="AL29" s="1610"/>
    </row>
    <row r="30" spans="1:38">
      <c r="A30" s="66"/>
      <c r="B30" s="66"/>
      <c r="C30" s="1049"/>
      <c r="D30" s="199"/>
      <c r="E30" s="1641"/>
      <c r="F30" s="110"/>
      <c r="G30" s="1641"/>
      <c r="H30" s="110"/>
      <c r="I30" s="1641"/>
      <c r="J30" s="110"/>
      <c r="K30" s="1641"/>
      <c r="L30" s="110"/>
      <c r="M30" s="1641"/>
      <c r="N30" s="110"/>
      <c r="O30" s="1641"/>
      <c r="P30" s="110"/>
      <c r="Q30" s="1641"/>
      <c r="R30" s="110"/>
      <c r="S30" s="1641"/>
      <c r="T30" s="110"/>
      <c r="U30" s="1641"/>
      <c r="V30" s="110"/>
      <c r="W30" s="1642"/>
      <c r="X30" s="110"/>
      <c r="Y30" s="1641"/>
      <c r="Z30" s="199"/>
      <c r="AA30" s="882"/>
      <c r="AB30" s="1049"/>
      <c r="AC30" s="199"/>
      <c r="AD30" s="882"/>
      <c r="AE30" s="1049"/>
      <c r="AF30" s="16"/>
      <c r="AG30" s="1836"/>
      <c r="AH30" s="274"/>
      <c r="AI30" s="278"/>
      <c r="AJ30" s="1645"/>
      <c r="AK30" s="1610"/>
      <c r="AL30" s="1610"/>
    </row>
    <row r="31" spans="1:38">
      <c r="A31" s="192" t="s">
        <v>465</v>
      </c>
      <c r="B31" s="66"/>
      <c r="C31" s="209">
        <f>ROUND(SUM(C26:C30),1)</f>
        <v>517.6</v>
      </c>
      <c r="D31" s="202"/>
      <c r="E31" s="209">
        <f>ROUND(SUM(E26:E30),1)</f>
        <v>501</v>
      </c>
      <c r="F31" s="209"/>
      <c r="G31" s="209">
        <f>ROUND(SUM(G26:G30),1)</f>
        <v>438.6</v>
      </c>
      <c r="H31" s="209"/>
      <c r="I31" s="209">
        <f>ROUND(SUM(I26:I30),1)</f>
        <v>523.29999999999995</v>
      </c>
      <c r="J31" s="209"/>
      <c r="K31" s="775">
        <f>ROUND(SUM(K26:K30),1)</f>
        <v>543.29999999999995</v>
      </c>
      <c r="L31" s="209"/>
      <c r="M31" s="775">
        <f>ROUND(SUM(M26:M30),1)</f>
        <v>632.4</v>
      </c>
      <c r="N31" s="209"/>
      <c r="O31" s="209">
        <f>ROUND(SUM(O26:O30),1)</f>
        <v>563.5</v>
      </c>
      <c r="P31" s="209"/>
      <c r="Q31" s="209">
        <f>ROUND(SUM(Q26:Q30),1)</f>
        <v>459.6</v>
      </c>
      <c r="R31" s="209"/>
      <c r="S31" s="209">
        <f>ROUND(SUM(S26:S30),1)</f>
        <v>518.70000000000005</v>
      </c>
      <c r="T31" s="209"/>
      <c r="U31" s="209">
        <f>ROUND(SUM(U26:U30),1)</f>
        <v>538.9</v>
      </c>
      <c r="V31" s="209"/>
      <c r="W31" s="209">
        <f>ROUND(SUM(W26:W30),1)</f>
        <v>521.79999999999995</v>
      </c>
      <c r="X31" s="209"/>
      <c r="Y31" s="209">
        <f>ROUND(SUM(Y26:Y30),1)</f>
        <v>0</v>
      </c>
      <c r="Z31" s="202"/>
      <c r="AA31" s="885"/>
      <c r="AB31" s="209">
        <f>ROUND(SUM(AB26:AB30),1)</f>
        <v>5758.7</v>
      </c>
      <c r="AC31" s="1851"/>
      <c r="AD31" s="202"/>
      <c r="AE31" s="209">
        <f>ROUND(SUM(AE26:AE30),1)</f>
        <v>5415</v>
      </c>
      <c r="AF31" s="274"/>
      <c r="AG31" s="1822"/>
      <c r="AH31" s="367">
        <f>ROUND(SUM(AH26:AH29),1)</f>
        <v>343.7</v>
      </c>
      <c r="AI31" s="40"/>
      <c r="AJ31" s="625">
        <f>ROUND(IF(AH31=0,0,AH31/ABS(AE31)),3)</f>
        <v>6.3E-2</v>
      </c>
      <c r="AK31" s="1610"/>
      <c r="AL31" s="1610"/>
    </row>
    <row r="32" spans="1:38">
      <c r="A32" s="66"/>
      <c r="B32" s="66"/>
      <c r="C32" s="1049"/>
      <c r="D32" s="199"/>
      <c r="E32" s="1641"/>
      <c r="F32" s="110"/>
      <c r="G32" s="1641"/>
      <c r="H32" s="110"/>
      <c r="I32" s="1641"/>
      <c r="J32" s="110"/>
      <c r="K32" s="110"/>
      <c r="L32" s="110"/>
      <c r="M32" s="110"/>
      <c r="N32" s="110"/>
      <c r="O32" s="1641"/>
      <c r="P32" s="110"/>
      <c r="Q32" s="1641"/>
      <c r="R32" s="110"/>
      <c r="S32" s="1641"/>
      <c r="T32" s="110"/>
      <c r="U32" s="1641"/>
      <c r="V32" s="110"/>
      <c r="W32" s="1641"/>
      <c r="X32" s="110"/>
      <c r="Y32" s="1641"/>
      <c r="Z32" s="199"/>
      <c r="AA32" s="882"/>
      <c r="AB32" s="1049"/>
      <c r="AC32" s="1261"/>
      <c r="AD32" s="882"/>
      <c r="AE32" s="1049"/>
      <c r="AF32" s="274"/>
      <c r="AG32" s="1822"/>
      <c r="AH32" s="274"/>
      <c r="AJ32" s="1850"/>
      <c r="AK32" s="1610"/>
      <c r="AL32" s="1610"/>
    </row>
    <row r="33" spans="1:38">
      <c r="A33" s="66"/>
      <c r="B33" s="66"/>
      <c r="C33" s="199"/>
      <c r="D33" s="199"/>
      <c r="E33" s="110"/>
      <c r="F33" s="110"/>
      <c r="G33" s="110"/>
      <c r="H33" s="110"/>
      <c r="I33" s="110"/>
      <c r="J33" s="110"/>
      <c r="K33" s="110"/>
      <c r="L33" s="110"/>
      <c r="M33" s="110"/>
      <c r="N33" s="110"/>
      <c r="O33" s="110"/>
      <c r="P33" s="110"/>
      <c r="Q33" s="110"/>
      <c r="R33" s="110"/>
      <c r="S33" s="110"/>
      <c r="T33" s="110"/>
      <c r="U33" s="110"/>
      <c r="V33" s="110"/>
      <c r="W33" s="110"/>
      <c r="X33" s="110"/>
      <c r="Y33" s="110"/>
      <c r="Z33" s="199"/>
      <c r="AA33" s="882"/>
      <c r="AB33" s="199"/>
      <c r="AC33" s="1261"/>
      <c r="AD33" s="882"/>
      <c r="AE33" s="199"/>
      <c r="AF33" s="26"/>
      <c r="AG33" s="97"/>
      <c r="AH33" s="274"/>
      <c r="AI33" s="1643"/>
      <c r="AJ33" s="1645"/>
      <c r="AK33" s="1610"/>
      <c r="AL33" s="1610"/>
    </row>
    <row r="34" spans="1:38">
      <c r="A34" s="192" t="s">
        <v>466</v>
      </c>
      <c r="B34" s="66"/>
      <c r="C34" s="199"/>
      <c r="D34" s="199"/>
      <c r="E34" s="110"/>
      <c r="F34" s="110"/>
      <c r="G34" s="110"/>
      <c r="H34" s="110"/>
      <c r="I34" s="110"/>
      <c r="J34" s="110"/>
      <c r="K34" s="110"/>
      <c r="L34" s="110"/>
      <c r="M34" s="110"/>
      <c r="N34" s="110"/>
      <c r="O34" s="110"/>
      <c r="P34" s="110"/>
      <c r="Q34" s="110"/>
      <c r="R34" s="110"/>
      <c r="S34" s="110"/>
      <c r="T34" s="110"/>
      <c r="U34" s="110"/>
      <c r="V34" s="110"/>
      <c r="W34" s="110"/>
      <c r="X34" s="110"/>
      <c r="Y34" s="110"/>
      <c r="Z34" s="199"/>
      <c r="AA34" s="882"/>
      <c r="AB34" s="199"/>
      <c r="AC34" s="1261"/>
      <c r="AD34" s="882"/>
      <c r="AE34" s="199"/>
      <c r="AF34" s="20"/>
      <c r="AG34" s="414"/>
      <c r="AH34" s="274"/>
      <c r="AI34" s="1643"/>
      <c r="AJ34" s="1645"/>
      <c r="AK34" s="1610"/>
      <c r="AL34" s="1610"/>
    </row>
    <row r="35" spans="1:38">
      <c r="A35" s="192" t="s">
        <v>144</v>
      </c>
      <c r="B35" s="66"/>
      <c r="C35" s="209">
        <f>ROUND(C21-C31,1)</f>
        <v>221.7</v>
      </c>
      <c r="D35" s="202"/>
      <c r="E35" s="209">
        <f>ROUND(E21-E31,1)</f>
        <v>-262.60000000000002</v>
      </c>
      <c r="F35" s="209"/>
      <c r="G35" s="209">
        <f>ROUND(G21-G31,1)</f>
        <v>34.4</v>
      </c>
      <c r="H35" s="209"/>
      <c r="I35" s="209">
        <f>ROUND(I21-I31,1)</f>
        <v>302.5</v>
      </c>
      <c r="J35" s="209"/>
      <c r="K35" s="209">
        <f>ROUND(K21-K31,1)</f>
        <v>-189.1</v>
      </c>
      <c r="L35" s="209"/>
      <c r="M35" s="209">
        <f>ROUND(M21-M31,1)</f>
        <v>-187.5</v>
      </c>
      <c r="N35" s="209"/>
      <c r="O35" s="209">
        <f>ROUND(O21-O31,1)</f>
        <v>-9.4</v>
      </c>
      <c r="P35" s="209"/>
      <c r="Q35" s="209">
        <f>ROUND(Q21-Q31,1)</f>
        <v>4.3</v>
      </c>
      <c r="R35" s="209"/>
      <c r="S35" s="209">
        <f>ROUND(S21-S31,1)</f>
        <v>133.80000000000001</v>
      </c>
      <c r="T35" s="209"/>
      <c r="U35" s="209">
        <f>ROUND(U21-U31,1)</f>
        <v>98.8</v>
      </c>
      <c r="V35" s="209"/>
      <c r="W35" s="209">
        <f>ROUND(W21-W31,1)</f>
        <v>115.6</v>
      </c>
      <c r="X35" s="209"/>
      <c r="Y35" s="209">
        <f>ROUND(Y21-Y31,1)</f>
        <v>0</v>
      </c>
      <c r="Z35" s="202"/>
      <c r="AA35" s="885"/>
      <c r="AB35" s="209">
        <f>ROUND(AB21-AB31,1)</f>
        <v>262.5</v>
      </c>
      <c r="AC35" s="1851"/>
      <c r="AD35" s="202"/>
      <c r="AE35" s="209">
        <f>ROUND(AE21-AE31,1)</f>
        <v>79.5</v>
      </c>
      <c r="AF35" s="278"/>
      <c r="AG35" s="417"/>
      <c r="AH35" s="367">
        <f>ROUND(SUM(AH21-AH31),1)</f>
        <v>183</v>
      </c>
      <c r="AI35" s="40"/>
      <c r="AJ35" s="1827">
        <f>ROUND(IF(AE35=0,1,AH35/ABS(AE35)),3)</f>
        <v>2.302</v>
      </c>
      <c r="AK35" s="1610"/>
      <c r="AL35" s="1610"/>
    </row>
    <row r="36" spans="1:38">
      <c r="A36" s="66"/>
      <c r="B36" s="66"/>
      <c r="C36" s="1049"/>
      <c r="D36" s="199"/>
      <c r="E36" s="1641"/>
      <c r="F36" s="110"/>
      <c r="G36" s="1641"/>
      <c r="H36" s="110"/>
      <c r="I36" s="1641"/>
      <c r="J36" s="110"/>
      <c r="K36" s="1641"/>
      <c r="L36" s="110"/>
      <c r="M36" s="1641"/>
      <c r="N36" s="110"/>
      <c r="O36" s="1641"/>
      <c r="P36" s="110"/>
      <c r="Q36" s="1641"/>
      <c r="R36" s="110"/>
      <c r="S36" s="1641"/>
      <c r="T36" s="110"/>
      <c r="U36" s="1641"/>
      <c r="V36" s="110"/>
      <c r="W36" s="1641"/>
      <c r="X36" s="110"/>
      <c r="Y36" s="1641"/>
      <c r="Z36" s="199"/>
      <c r="AA36" s="882"/>
      <c r="AB36" s="1049"/>
      <c r="AC36" s="1261"/>
      <c r="AD36" s="882"/>
      <c r="AE36" s="1049"/>
      <c r="AF36" s="278"/>
      <c r="AG36" s="417"/>
      <c r="AH36" s="274"/>
      <c r="AJ36" s="1850"/>
      <c r="AK36" s="1610"/>
      <c r="AL36" s="1610"/>
    </row>
    <row r="37" spans="1:38">
      <c r="A37" s="66"/>
      <c r="B37" s="66"/>
      <c r="C37" s="199"/>
      <c r="D37" s="199"/>
      <c r="E37" s="110"/>
      <c r="F37" s="110"/>
      <c r="G37" s="110"/>
      <c r="H37" s="110"/>
      <c r="I37" s="110"/>
      <c r="J37" s="110"/>
      <c r="K37" s="110"/>
      <c r="L37" s="110"/>
      <c r="M37" s="110"/>
      <c r="N37" s="110"/>
      <c r="O37" s="110"/>
      <c r="P37" s="110"/>
      <c r="Q37" s="110"/>
      <c r="R37" s="110"/>
      <c r="S37" s="110"/>
      <c r="T37" s="110"/>
      <c r="U37" s="110"/>
      <c r="V37" s="110"/>
      <c r="W37" s="110"/>
      <c r="X37" s="110"/>
      <c r="Y37" s="110"/>
      <c r="Z37" s="199"/>
      <c r="AA37" s="882"/>
      <c r="AB37" s="199"/>
      <c r="AC37" s="199"/>
      <c r="AD37" s="882"/>
      <c r="AE37" s="199"/>
      <c r="AG37" s="413"/>
      <c r="AH37" s="274"/>
      <c r="AJ37" s="1645"/>
      <c r="AK37" s="1610"/>
      <c r="AL37" s="1610"/>
    </row>
    <row r="38" spans="1:38">
      <c r="A38" s="192" t="s">
        <v>145</v>
      </c>
      <c r="B38" s="66"/>
      <c r="C38" s="199"/>
      <c r="D38" s="199"/>
      <c r="E38" s="110"/>
      <c r="F38" s="110"/>
      <c r="G38" s="110"/>
      <c r="H38" s="110"/>
      <c r="I38" s="110"/>
      <c r="J38" s="110"/>
      <c r="K38" s="1310"/>
      <c r="L38" s="110"/>
      <c r="M38" s="1310"/>
      <c r="N38" s="110"/>
      <c r="O38" s="110"/>
      <c r="P38" s="110"/>
      <c r="Q38" s="110"/>
      <c r="R38" s="110"/>
      <c r="S38" s="110"/>
      <c r="T38" s="110"/>
      <c r="U38" s="110"/>
      <c r="V38" s="110"/>
      <c r="W38" s="110"/>
      <c r="X38" s="110"/>
      <c r="Y38" s="110"/>
      <c r="Z38" s="199"/>
      <c r="AA38" s="882"/>
      <c r="AB38" s="199"/>
      <c r="AC38" s="199"/>
      <c r="AD38" s="882"/>
      <c r="AE38" s="199"/>
      <c r="AF38" s="278"/>
      <c r="AG38" s="417"/>
      <c r="AH38" s="284"/>
      <c r="AI38" s="390"/>
      <c r="AJ38" s="1645"/>
      <c r="AK38" s="1610"/>
      <c r="AL38" s="1610"/>
    </row>
    <row r="39" spans="1:38">
      <c r="A39" s="66" t="s">
        <v>545</v>
      </c>
      <c r="B39" s="66"/>
      <c r="C39" s="199">
        <v>0</v>
      </c>
      <c r="D39" s="199"/>
      <c r="E39" s="199">
        <v>0</v>
      </c>
      <c r="F39" s="110"/>
      <c r="G39" s="199">
        <v>0</v>
      </c>
      <c r="H39" s="297"/>
      <c r="I39" s="199">
        <v>0</v>
      </c>
      <c r="J39" s="110"/>
      <c r="K39" s="199">
        <v>0</v>
      </c>
      <c r="L39" s="110"/>
      <c r="M39" s="199">
        <v>0</v>
      </c>
      <c r="N39" s="110"/>
      <c r="O39" s="199">
        <v>0</v>
      </c>
      <c r="P39" s="110"/>
      <c r="Q39" s="199">
        <v>0</v>
      </c>
      <c r="R39" s="110"/>
      <c r="S39" s="199">
        <v>0</v>
      </c>
      <c r="T39" s="110"/>
      <c r="U39" s="199">
        <v>0</v>
      </c>
      <c r="V39" s="110"/>
      <c r="W39" s="199">
        <f>$AB39-SUM($C39:U39)</f>
        <v>0</v>
      </c>
      <c r="X39" s="110"/>
      <c r="Y39" s="199"/>
      <c r="Z39" s="199"/>
      <c r="AA39" s="882"/>
      <c r="AB39" s="542">
        <v>0</v>
      </c>
      <c r="AC39" s="274"/>
      <c r="AD39" s="535" t="s">
        <v>103</v>
      </c>
      <c r="AE39" s="542">
        <v>6</v>
      </c>
      <c r="AF39" s="278"/>
      <c r="AG39" s="417"/>
      <c r="AH39" s="274">
        <f>ROUND(SUM(AB39-AE39),1)</f>
        <v>-6</v>
      </c>
      <c r="AJ39" s="1646">
        <f>ROUND(IF(AE39=0,0,AH39/ABS(AE39)),3)</f>
        <v>-1</v>
      </c>
      <c r="AK39" s="1610"/>
      <c r="AL39" s="1610"/>
    </row>
    <row r="40" spans="1:38">
      <c r="A40" s="66" t="s">
        <v>546</v>
      </c>
      <c r="B40" s="66"/>
      <c r="C40" s="199">
        <v>0</v>
      </c>
      <c r="D40" s="199"/>
      <c r="E40" s="199">
        <v>0</v>
      </c>
      <c r="F40" s="110"/>
      <c r="G40" s="199">
        <v>0</v>
      </c>
      <c r="H40" s="297"/>
      <c r="I40" s="199">
        <v>0</v>
      </c>
      <c r="J40" s="110"/>
      <c r="K40" s="199">
        <v>0</v>
      </c>
      <c r="L40" s="110"/>
      <c r="M40" s="199">
        <v>0</v>
      </c>
      <c r="N40" s="110"/>
      <c r="O40" s="199">
        <v>0</v>
      </c>
      <c r="P40" s="110"/>
      <c r="Q40" s="199">
        <v>0</v>
      </c>
      <c r="R40" s="110"/>
      <c r="S40" s="199">
        <v>0</v>
      </c>
      <c r="T40" s="110"/>
      <c r="U40" s="199">
        <v>0</v>
      </c>
      <c r="V40" s="110"/>
      <c r="W40" s="199">
        <f>$AB40-SUM($C40:U40)</f>
        <v>0</v>
      </c>
      <c r="X40" s="110"/>
      <c r="Y40" s="199"/>
      <c r="Z40" s="199"/>
      <c r="AA40" s="882"/>
      <c r="AB40" s="542">
        <v>0</v>
      </c>
      <c r="AC40" s="274"/>
      <c r="AD40" s="535" t="s">
        <v>103</v>
      </c>
      <c r="AE40" s="542">
        <v>0</v>
      </c>
      <c r="AF40" s="278"/>
      <c r="AG40" s="417"/>
      <c r="AH40" s="393">
        <f>-ROUND(SUM(AB40-AE40),1)</f>
        <v>0</v>
      </c>
      <c r="AJ40" s="1662">
        <f>ROUND(IF(AE40=0,0,AH40/ABS(AE40)),3)</f>
        <v>0</v>
      </c>
      <c r="AK40" s="1610"/>
      <c r="AL40" s="1610"/>
    </row>
    <row r="41" spans="1:38">
      <c r="A41" s="66"/>
      <c r="B41" s="66"/>
      <c r="C41" s="1049"/>
      <c r="D41" s="199"/>
      <c r="E41" s="1049"/>
      <c r="F41" s="110"/>
      <c r="G41" s="1049"/>
      <c r="H41" s="110"/>
      <c r="I41" s="1049"/>
      <c r="J41" s="110"/>
      <c r="K41" s="1049"/>
      <c r="L41" s="110"/>
      <c r="M41" s="1049"/>
      <c r="N41" s="110"/>
      <c r="O41" s="1049"/>
      <c r="P41" s="110"/>
      <c r="Q41" s="1049"/>
      <c r="R41" s="110"/>
      <c r="S41" s="1049"/>
      <c r="T41" s="110"/>
      <c r="U41" s="1641"/>
      <c r="V41" s="110"/>
      <c r="W41" s="1641"/>
      <c r="X41" s="110"/>
      <c r="Y41" s="1641"/>
      <c r="Z41" s="199"/>
      <c r="AA41" s="882"/>
      <c r="AB41" s="1049"/>
      <c r="AC41" s="199"/>
      <c r="AD41" s="882"/>
      <c r="AE41" s="1049"/>
      <c r="AF41" s="278"/>
      <c r="AG41" s="417"/>
      <c r="AJ41" s="1850"/>
      <c r="AK41" s="1610"/>
      <c r="AL41" s="1610"/>
    </row>
    <row r="42" spans="1:38">
      <c r="A42" s="192" t="s">
        <v>596</v>
      </c>
      <c r="B42" s="66"/>
      <c r="C42" s="1648">
        <f>ROUND(SUM(C39:C41),1)</f>
        <v>0</v>
      </c>
      <c r="D42" s="202"/>
      <c r="E42" s="1648">
        <f>ROUND(SUM(E39:E41),1)</f>
        <v>0</v>
      </c>
      <c r="F42" s="209"/>
      <c r="G42" s="1648">
        <f>ROUND(SUM(G39:G41),1)</f>
        <v>0</v>
      </c>
      <c r="H42" s="209"/>
      <c r="I42" s="1648">
        <f>ROUND(SUM(I39:I41),1)</f>
        <v>0</v>
      </c>
      <c r="J42" s="209"/>
      <c r="K42" s="1648">
        <f>ROUND(SUM(K39:K41),1)</f>
        <v>0</v>
      </c>
      <c r="L42" s="209"/>
      <c r="M42" s="1648">
        <f>ROUND(SUM(M39:M41),1)</f>
        <v>0</v>
      </c>
      <c r="N42" s="209"/>
      <c r="O42" s="1648">
        <f>ROUND(SUM(O39:O41),1)</f>
        <v>0</v>
      </c>
      <c r="P42" s="209"/>
      <c r="Q42" s="1648">
        <f>ROUND(SUM(Q39:Q41),1)</f>
        <v>0</v>
      </c>
      <c r="R42" s="1648"/>
      <c r="S42" s="1648">
        <f>ROUND(SUM(S39:S41),1)</f>
        <v>0</v>
      </c>
      <c r="T42" s="209"/>
      <c r="U42" s="1648">
        <f>ROUND(SUM(U39:U41),1)</f>
        <v>0</v>
      </c>
      <c r="V42" s="209"/>
      <c r="W42" s="1648">
        <f>ROUND(SUM(W39:W41),1)</f>
        <v>0</v>
      </c>
      <c r="X42" s="209"/>
      <c r="Y42" s="1648">
        <f>ROUND(SUM(Y39:Y41),1)</f>
        <v>0</v>
      </c>
      <c r="Z42" s="202"/>
      <c r="AA42" s="885"/>
      <c r="AB42" s="367">
        <f>ROUND(SUM(AB39+AB40),1)</f>
        <v>0</v>
      </c>
      <c r="AC42" s="1851"/>
      <c r="AD42" s="202"/>
      <c r="AE42" s="367">
        <f>ROUND(SUM(AE39+AE40),1)</f>
        <v>6</v>
      </c>
      <c r="AF42" s="301"/>
      <c r="AG42" s="413"/>
      <c r="AH42" s="367">
        <f>ROUND(SUM(AH39:AH40),1)</f>
        <v>-6</v>
      </c>
      <c r="AI42" s="55"/>
      <c r="AJ42" s="1649">
        <f>ROUND(IF(AE42=0,0,AH42/ABS(AE42)),3)</f>
        <v>-1</v>
      </c>
      <c r="AK42" s="1610"/>
      <c r="AL42" s="1610"/>
    </row>
    <row r="43" spans="1:38">
      <c r="A43" s="66"/>
      <c r="B43" s="66"/>
      <c r="C43" s="1049"/>
      <c r="D43" s="199"/>
      <c r="E43" s="1641"/>
      <c r="F43" s="110"/>
      <c r="G43" s="1641"/>
      <c r="H43" s="110"/>
      <c r="I43" s="1641"/>
      <c r="J43" s="110"/>
      <c r="K43" s="1641"/>
      <c r="L43" s="110"/>
      <c r="M43" s="1641"/>
      <c r="N43" s="110"/>
      <c r="O43" s="1641"/>
      <c r="P43" s="110"/>
      <c r="Q43" s="1641"/>
      <c r="R43" s="110"/>
      <c r="S43" s="1641"/>
      <c r="T43" s="110"/>
      <c r="U43" s="1641"/>
      <c r="V43" s="110"/>
      <c r="W43" s="1641"/>
      <c r="X43" s="110"/>
      <c r="Y43" s="1641"/>
      <c r="Z43" s="199"/>
      <c r="AA43" s="882"/>
      <c r="AB43" s="1049"/>
      <c r="AC43" s="199"/>
      <c r="AD43" s="882"/>
      <c r="AE43" s="1049"/>
      <c r="AG43" s="413"/>
      <c r="AJ43" s="1850"/>
      <c r="AK43" s="1610"/>
      <c r="AL43" s="1610"/>
    </row>
    <row r="44" spans="1:38">
      <c r="A44" s="66"/>
      <c r="B44" s="66"/>
      <c r="C44" s="199"/>
      <c r="D44" s="199"/>
      <c r="E44" s="110"/>
      <c r="F44" s="110"/>
      <c r="G44" s="110"/>
      <c r="H44" s="110"/>
      <c r="I44" s="110"/>
      <c r="J44" s="110"/>
      <c r="K44" s="110"/>
      <c r="L44" s="110"/>
      <c r="M44" s="110"/>
      <c r="N44" s="110"/>
      <c r="O44" s="110"/>
      <c r="P44" s="110"/>
      <c r="Q44" s="110"/>
      <c r="R44" s="110"/>
      <c r="S44" s="110"/>
      <c r="T44" s="110"/>
      <c r="U44" s="110"/>
      <c r="V44" s="110"/>
      <c r="W44" s="110"/>
      <c r="X44" s="110"/>
      <c r="Y44" s="110"/>
      <c r="Z44" s="199"/>
      <c r="AA44" s="882"/>
      <c r="AB44" s="199"/>
      <c r="AC44" s="199"/>
      <c r="AD44" s="882"/>
      <c r="AE44" s="199"/>
      <c r="AG44" s="413"/>
      <c r="AJ44" s="1850"/>
      <c r="AK44" s="1610"/>
      <c r="AL44" s="1610"/>
    </row>
    <row r="45" spans="1:38">
      <c r="A45" s="192" t="s">
        <v>477</v>
      </c>
      <c r="B45" s="66"/>
      <c r="C45" s="199"/>
      <c r="D45" s="199"/>
      <c r="E45" s="110"/>
      <c r="F45" s="110"/>
      <c r="G45" s="110"/>
      <c r="H45" s="110"/>
      <c r="I45" s="110"/>
      <c r="J45" s="110"/>
      <c r="K45" s="110"/>
      <c r="L45" s="110"/>
      <c r="M45" s="110"/>
      <c r="N45" s="110"/>
      <c r="O45" s="110"/>
      <c r="P45" s="110"/>
      <c r="Q45" s="110"/>
      <c r="R45" s="110"/>
      <c r="S45" s="110"/>
      <c r="T45" s="110"/>
      <c r="U45" s="110"/>
      <c r="V45" s="110"/>
      <c r="W45" s="110"/>
      <c r="X45" s="110"/>
      <c r="Y45" s="110"/>
      <c r="Z45" s="199"/>
      <c r="AA45" s="882"/>
      <c r="AB45" s="199"/>
      <c r="AC45" s="199"/>
      <c r="AD45" s="882"/>
      <c r="AE45" s="199"/>
      <c r="AG45" s="413"/>
      <c r="AJ45" s="1850"/>
      <c r="AK45" s="1610"/>
      <c r="AL45" s="1610"/>
    </row>
    <row r="46" spans="1:38">
      <c r="A46" s="192" t="s">
        <v>603</v>
      </c>
      <c r="B46" s="66"/>
      <c r="C46" s="199"/>
      <c r="D46" s="199"/>
      <c r="E46" s="110"/>
      <c r="F46" s="110"/>
      <c r="G46" s="110"/>
      <c r="H46" s="110"/>
      <c r="I46" s="110"/>
      <c r="J46" s="110"/>
      <c r="K46" s="1310"/>
      <c r="L46" s="110"/>
      <c r="M46" s="110"/>
      <c r="N46" s="110"/>
      <c r="O46" s="110"/>
      <c r="P46" s="110"/>
      <c r="Q46" s="110"/>
      <c r="R46" s="110"/>
      <c r="S46" s="110"/>
      <c r="T46" s="110"/>
      <c r="U46" s="110"/>
      <c r="V46" s="110"/>
      <c r="W46" s="110"/>
      <c r="X46" s="110"/>
      <c r="Y46" s="110"/>
      <c r="Z46" s="199"/>
      <c r="AA46" s="882"/>
      <c r="AB46" s="199"/>
      <c r="AC46" s="199"/>
      <c r="AD46" s="882"/>
      <c r="AE46" s="199"/>
      <c r="AG46" s="413"/>
      <c r="AJ46" s="1850"/>
      <c r="AK46" s="1610"/>
      <c r="AL46" s="1610"/>
    </row>
    <row r="47" spans="1:38">
      <c r="A47" s="192" t="s">
        <v>479</v>
      </c>
      <c r="B47" s="66"/>
      <c r="C47" s="209">
        <f>ROUND(C35+C42,1)</f>
        <v>221.7</v>
      </c>
      <c r="D47" s="202"/>
      <c r="E47" s="209">
        <f>ROUND(E35+E42,1)</f>
        <v>-262.60000000000002</v>
      </c>
      <c r="F47" s="209"/>
      <c r="G47" s="209">
        <f>ROUND(G35+G42,1)</f>
        <v>34.4</v>
      </c>
      <c r="H47" s="209"/>
      <c r="I47" s="209">
        <f>ROUND(I35+I42,1)</f>
        <v>302.5</v>
      </c>
      <c r="J47" s="209"/>
      <c r="K47" s="775">
        <f>ROUND(K35+K42,1)</f>
        <v>-189.1</v>
      </c>
      <c r="L47" s="209"/>
      <c r="M47" s="209">
        <f>ROUND(M35+M42,1)</f>
        <v>-187.5</v>
      </c>
      <c r="N47" s="209"/>
      <c r="O47" s="209">
        <f>ROUND(O35+O42,1)</f>
        <v>-9.4</v>
      </c>
      <c r="P47" s="209"/>
      <c r="Q47" s="209">
        <f>ROUND(Q35+Q42,1)</f>
        <v>4.3</v>
      </c>
      <c r="R47" s="209"/>
      <c r="S47" s="209">
        <f>ROUND(S35+S42,1)</f>
        <v>133.80000000000001</v>
      </c>
      <c r="T47" s="209"/>
      <c r="U47" s="209">
        <f>ROUND(U35+U42,1)</f>
        <v>98.8</v>
      </c>
      <c r="V47" s="209"/>
      <c r="W47" s="209">
        <f>ROUND(W35+W42,1)</f>
        <v>115.6</v>
      </c>
      <c r="X47" s="209"/>
      <c r="Y47" s="209">
        <f>ROUND(Y35+Y42,1)</f>
        <v>0</v>
      </c>
      <c r="Z47" s="202"/>
      <c r="AA47" s="885"/>
      <c r="AB47" s="209">
        <f>ROUND(AB35+AB42,1)</f>
        <v>262.5</v>
      </c>
      <c r="AC47" s="1851"/>
      <c r="AD47" s="202"/>
      <c r="AE47" s="209">
        <f>ROUND(AE35+AE42,1)</f>
        <v>85.5</v>
      </c>
      <c r="AG47" s="413"/>
      <c r="AH47" s="367">
        <f>ROUND(SUM(AH35+AH42),1)</f>
        <v>177</v>
      </c>
      <c r="AI47" s="3"/>
      <c r="AJ47" s="1827">
        <f>ROUND(IF(AE47=0,1,AH47/ABS(AE47)),3)</f>
        <v>2.0699999999999998</v>
      </c>
      <c r="AK47" s="1610"/>
      <c r="AL47" s="1610"/>
    </row>
    <row r="48" spans="1:38">
      <c r="A48" s="66"/>
      <c r="B48" s="66"/>
      <c r="C48" s="1650"/>
      <c r="D48" s="192"/>
      <c r="E48" s="1651"/>
      <c r="F48" s="1652"/>
      <c r="G48" s="1651"/>
      <c r="H48" s="1652"/>
      <c r="I48" s="1651"/>
      <c r="J48" s="1652"/>
      <c r="K48" s="1653"/>
      <c r="L48" s="1652"/>
      <c r="M48" s="1651"/>
      <c r="N48" s="1652"/>
      <c r="O48" s="1651"/>
      <c r="P48" s="1652"/>
      <c r="Q48" s="1651"/>
      <c r="R48" s="1652"/>
      <c r="S48" s="1651"/>
      <c r="T48" s="1652"/>
      <c r="U48" s="1651"/>
      <c r="V48" s="1652"/>
      <c r="W48" s="1651"/>
      <c r="X48" s="1652"/>
      <c r="Y48" s="1651"/>
      <c r="Z48" s="192"/>
      <c r="AA48" s="1654"/>
      <c r="AB48" s="1650"/>
      <c r="AC48" s="192"/>
      <c r="AD48" s="1654"/>
      <c r="AE48" s="1650"/>
      <c r="AG48" s="413"/>
      <c r="AJ48" s="1850"/>
      <c r="AK48" s="1610"/>
      <c r="AL48" s="1610"/>
    </row>
    <row r="49" spans="1:38" ht="16" thickBot="1">
      <c r="A49" s="192" t="s">
        <v>441</v>
      </c>
      <c r="B49" s="66"/>
      <c r="C49" s="195">
        <f>ROUND(C14+C47,1)</f>
        <v>869.7</v>
      </c>
      <c r="D49" s="195"/>
      <c r="E49" s="195">
        <f>ROUND(E14+E47,1)</f>
        <v>607.1</v>
      </c>
      <c r="F49" s="1639"/>
      <c r="G49" s="195">
        <f>ROUND(G14+G47,1)</f>
        <v>641.5</v>
      </c>
      <c r="H49" s="1639"/>
      <c r="I49" s="1655">
        <f>ROUND(I14+I47,1)</f>
        <v>944</v>
      </c>
      <c r="J49" s="1639"/>
      <c r="K49" s="195">
        <f>ROUND(K14+K47,1)</f>
        <v>754.9</v>
      </c>
      <c r="L49" s="1639"/>
      <c r="M49" s="195">
        <f>ROUND(M14+M47,1)</f>
        <v>567.4</v>
      </c>
      <c r="N49" s="1639"/>
      <c r="O49" s="195">
        <f>ROUND(O14+O47,1)</f>
        <v>558</v>
      </c>
      <c r="P49" s="1639"/>
      <c r="Q49" s="195">
        <f>ROUND(Q14+Q47,1)</f>
        <v>562.29999999999995</v>
      </c>
      <c r="R49" s="1639"/>
      <c r="S49" s="195">
        <f>ROUND(S14+S47,1)</f>
        <v>696.1</v>
      </c>
      <c r="T49" s="1639"/>
      <c r="U49" s="195">
        <f>ROUND(U14+U47,1)</f>
        <v>794.9</v>
      </c>
      <c r="V49" s="1639"/>
      <c r="W49" s="195">
        <f>ROUND(W14+W47,1)</f>
        <v>910.5</v>
      </c>
      <c r="X49" s="1639"/>
      <c r="Y49" s="195">
        <f>ROUND(Y14+Y47,1)</f>
        <v>0</v>
      </c>
      <c r="Z49" s="195"/>
      <c r="AA49" s="878"/>
      <c r="AB49" s="195">
        <f>ROUND(AB14+AB47,1)</f>
        <v>910.5</v>
      </c>
      <c r="AC49" s="195"/>
      <c r="AD49" s="878"/>
      <c r="AE49" s="195">
        <f>ROUND(AE14+AE47,1)</f>
        <v>595.9</v>
      </c>
      <c r="AG49" s="413"/>
      <c r="AH49" s="74">
        <f>ROUND(SUM(AB49-AE49),1)</f>
        <v>314.60000000000002</v>
      </c>
      <c r="AI49" s="390"/>
      <c r="AJ49" s="1852">
        <f>ROUND(IF(AH49=0,0,AH49/ABS(AE49)),3)</f>
        <v>0.52800000000000002</v>
      </c>
      <c r="AK49" s="1610"/>
      <c r="AL49" s="1610"/>
    </row>
    <row r="50" spans="1:38" ht="16" thickTop="1">
      <c r="C50" s="1657"/>
      <c r="E50" s="1657"/>
      <c r="G50" s="1657"/>
      <c r="K50" s="1657"/>
      <c r="M50" s="1657"/>
      <c r="O50" s="1657"/>
      <c r="Q50" s="1657"/>
      <c r="S50" s="1657"/>
      <c r="U50" s="1657"/>
      <c r="W50" s="1657"/>
      <c r="Y50" s="1657"/>
      <c r="AB50" s="1657"/>
      <c r="AE50" s="1657"/>
    </row>
    <row r="51" spans="1:38">
      <c r="A51" s="1045"/>
    </row>
    <row r="52" spans="1:38">
      <c r="A52" s="1045"/>
    </row>
    <row r="53" spans="1:38">
      <c r="A53" s="1045"/>
    </row>
    <row r="54" spans="1:38">
      <c r="A54" s="1045"/>
    </row>
    <row r="55" spans="1:38">
      <c r="A55" s="1045"/>
    </row>
  </sheetData>
  <mergeCells count="1">
    <mergeCell ref="AA10:AJ10"/>
  </mergeCells>
  <printOptions horizontalCentered="1"/>
  <pageMargins left="0.25" right="0.25" top="0.5" bottom="0.25" header="0" footer="0.25"/>
  <pageSetup scale="44" firstPageNumber="35"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zoomScaleNormal="80" workbookViewId="0"/>
  </sheetViews>
  <sheetFormatPr defaultColWidth="8.69140625" defaultRowHeight="15.5"/>
  <cols>
    <col min="1" max="1" width="41.07421875" style="10" customWidth="1"/>
    <col min="2" max="2" width="11.69140625" style="10" customWidth="1"/>
    <col min="3" max="3" width="1.69140625" style="10" customWidth="1"/>
    <col min="4" max="4" width="11.69140625" style="10" customWidth="1"/>
    <col min="5" max="5" width="1.69140625" style="10" customWidth="1"/>
    <col min="6" max="6" width="11.69140625" style="10" customWidth="1"/>
    <col min="7" max="7" width="1.69140625" style="10" customWidth="1"/>
    <col min="8" max="8" width="11.69140625" style="10" customWidth="1"/>
    <col min="9" max="9" width="1.69140625" style="10" customWidth="1"/>
    <col min="10" max="10" width="11.69140625" style="10" customWidth="1"/>
    <col min="11" max="11" width="1.69140625" style="10" customWidth="1"/>
    <col min="12" max="12" width="12.07421875" style="10" customWidth="1"/>
    <col min="13" max="13" width="1.69140625" style="10" customWidth="1"/>
    <col min="14" max="14" width="11.69140625" style="10" customWidth="1"/>
    <col min="15" max="15" width="1.69140625" style="10" customWidth="1"/>
    <col min="16" max="16" width="11.69140625" style="10" customWidth="1"/>
    <col min="17" max="17" width="1.69140625" style="10" customWidth="1"/>
    <col min="18" max="18" width="11.69140625" style="10" customWidth="1"/>
    <col min="19" max="19" width="1.69140625" style="10" customWidth="1"/>
    <col min="20" max="20" width="11.69140625" style="10" customWidth="1"/>
    <col min="21" max="21" width="1.69140625" style="10" customWidth="1"/>
    <col min="22" max="22" width="11.69140625" style="10" customWidth="1"/>
    <col min="23" max="23" width="1.69140625" style="10" customWidth="1"/>
    <col min="24" max="24" width="11.69140625" style="10" customWidth="1"/>
    <col min="25" max="26" width="0.69140625" style="10" customWidth="1"/>
    <col min="27" max="27" width="11.69140625" style="10" customWidth="1"/>
    <col min="28" max="29" width="0.69140625" style="10" customWidth="1"/>
    <col min="30" max="30" width="11.69140625" style="10" customWidth="1"/>
    <col min="31" max="31" width="0.69140625" style="112" customWidth="1"/>
    <col min="32" max="32" width="0.69140625" style="301" customWidth="1"/>
    <col min="33" max="33" width="11.69140625" style="301" customWidth="1"/>
    <col min="34" max="34" width="1.69140625" style="301" customWidth="1"/>
    <col min="35" max="35" width="11.69140625" style="301" customWidth="1"/>
    <col min="36" max="36" width="9.07421875" style="10" bestFit="1" customWidth="1"/>
    <col min="37" max="37" width="8.69140625" style="10" bestFit="1" customWidth="1"/>
    <col min="38" max="16384" width="8.69140625" style="10"/>
  </cols>
  <sheetData>
    <row r="1" spans="1:37">
      <c r="A1" s="275" t="s">
        <v>97</v>
      </c>
    </row>
    <row r="2" spans="1:37">
      <c r="A2" s="364"/>
    </row>
    <row r="3" spans="1:37">
      <c r="A3" s="1658" t="s">
        <v>98</v>
      </c>
      <c r="B3" s="1659"/>
      <c r="AE3" s="301"/>
      <c r="AI3" s="1247" t="s">
        <v>604</v>
      </c>
    </row>
    <row r="4" spans="1:37">
      <c r="A4" s="1658" t="s">
        <v>605</v>
      </c>
      <c r="B4" s="1659"/>
      <c r="H4" s="1659" t="s">
        <v>103</v>
      </c>
      <c r="X4" s="10" t="s">
        <v>103</v>
      </c>
      <c r="AE4" s="301"/>
    </row>
    <row r="5" spans="1:37">
      <c r="A5" s="1658" t="s">
        <v>606</v>
      </c>
      <c r="B5" s="1659"/>
      <c r="AB5" s="1247"/>
      <c r="AC5" s="1247"/>
      <c r="AD5" s="1247"/>
      <c r="AE5" s="1247"/>
    </row>
    <row r="6" spans="1:37">
      <c r="A6" s="1660" t="str">
        <f>'Cashflow Governmental'!A6</f>
        <v>FISCAL YEAR 2024-2025</v>
      </c>
      <c r="B6" s="1659"/>
      <c r="AE6" s="301"/>
    </row>
    <row r="7" spans="1:37">
      <c r="A7" s="1658" t="s">
        <v>102</v>
      </c>
      <c r="B7" s="1659"/>
      <c r="AE7" s="301"/>
    </row>
    <row r="8" spans="1:37">
      <c r="A8" s="1658"/>
      <c r="B8" s="1659"/>
      <c r="AE8" s="301"/>
    </row>
    <row r="9" spans="1:37">
      <c r="B9" s="1710"/>
      <c r="AA9" s="2129"/>
      <c r="AB9" s="2129"/>
      <c r="AC9" s="2129"/>
      <c r="AD9" s="2129"/>
      <c r="AE9" s="2129"/>
      <c r="AF9" s="2129"/>
      <c r="AG9" s="2129"/>
      <c r="AH9" s="2129"/>
      <c r="AI9" s="2129"/>
    </row>
    <row r="10" spans="1:37">
      <c r="A10" s="1661"/>
      <c r="B10" s="1147"/>
      <c r="C10" s="15"/>
      <c r="D10" s="15"/>
      <c r="E10" s="15"/>
      <c r="F10" s="15"/>
      <c r="G10" s="15"/>
      <c r="H10" s="1659"/>
      <c r="I10" s="1659"/>
      <c r="J10" s="1659"/>
      <c r="K10" s="15"/>
      <c r="L10" s="15"/>
      <c r="M10" s="15"/>
      <c r="N10" s="15"/>
      <c r="O10" s="15"/>
      <c r="P10" s="15"/>
      <c r="Q10" s="15"/>
      <c r="R10" s="15"/>
      <c r="S10" s="15"/>
      <c r="T10" s="15"/>
      <c r="U10" s="15"/>
      <c r="V10" s="15"/>
      <c r="W10" s="15"/>
      <c r="X10" s="15"/>
      <c r="Y10" s="15"/>
      <c r="Z10" s="2124" t="str">
        <f>'Cashflow Governmental'!$AB$12</f>
        <v>11 Months Ended February 28</v>
      </c>
      <c r="AA10" s="2124"/>
      <c r="AB10" s="2124"/>
      <c r="AC10" s="2124"/>
      <c r="AD10" s="2124"/>
      <c r="AE10" s="2124"/>
      <c r="AF10" s="2124"/>
      <c r="AG10" s="2124"/>
      <c r="AH10" s="2124"/>
      <c r="AI10" s="2124"/>
    </row>
    <row r="11" spans="1:37">
      <c r="A11" s="374"/>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3"/>
      <c r="W11" s="3"/>
      <c r="X11" s="3"/>
      <c r="Y11" s="3"/>
      <c r="Z11" s="3"/>
      <c r="AA11" s="3"/>
      <c r="AB11" s="3"/>
      <c r="AC11" s="3"/>
      <c r="AD11" s="3"/>
      <c r="AE11" s="6"/>
      <c r="AF11" s="3"/>
      <c r="AG11" s="330" t="s">
        <v>110</v>
      </c>
      <c r="AH11" s="330"/>
      <c r="AI11" s="328" t="s">
        <v>111</v>
      </c>
    </row>
    <row r="12" spans="1:37">
      <c r="A12" s="374"/>
      <c r="B12" s="55" t="s">
        <v>336</v>
      </c>
      <c r="C12" s="3"/>
      <c r="D12" s="55" t="s">
        <v>337</v>
      </c>
      <c r="E12" s="3"/>
      <c r="F12" s="55" t="s">
        <v>338</v>
      </c>
      <c r="G12" s="3"/>
      <c r="H12" s="55" t="s">
        <v>339</v>
      </c>
      <c r="I12" s="3"/>
      <c r="J12" s="55" t="s">
        <v>340</v>
      </c>
      <c r="K12" s="3"/>
      <c r="L12" s="324" t="s">
        <v>453</v>
      </c>
      <c r="M12" s="3"/>
      <c r="N12" s="324" t="s">
        <v>454</v>
      </c>
      <c r="O12" s="3"/>
      <c r="P12" s="55" t="s">
        <v>343</v>
      </c>
      <c r="Q12" s="3"/>
      <c r="R12" s="55" t="s">
        <v>344</v>
      </c>
      <c r="S12" s="3"/>
      <c r="T12" s="55" t="s">
        <v>345</v>
      </c>
      <c r="U12" s="3"/>
      <c r="V12" s="55" t="s">
        <v>346</v>
      </c>
      <c r="W12" s="3"/>
      <c r="X12" s="324" t="s">
        <v>455</v>
      </c>
      <c r="Y12" s="3"/>
      <c r="Z12" s="3"/>
      <c r="AA12" s="55" t="str">
        <f>'Cashflow Governmental'!AB14</f>
        <v>2025</v>
      </c>
      <c r="AB12" s="3" t="s">
        <v>103</v>
      </c>
      <c r="AC12" s="3"/>
      <c r="AD12" s="55" t="str">
        <f>'Cashflow Governmental'!AE14</f>
        <v>2024</v>
      </c>
      <c r="AE12" s="55"/>
      <c r="AF12" s="55"/>
      <c r="AG12" s="426" t="s">
        <v>112</v>
      </c>
      <c r="AH12" s="330"/>
      <c r="AI12" s="426" t="s">
        <v>113</v>
      </c>
    </row>
    <row r="13" spans="1:37" ht="8.75" customHeight="1">
      <c r="A13" s="374"/>
      <c r="B13" s="1015"/>
      <c r="C13" s="374"/>
      <c r="D13" s="1015"/>
      <c r="E13" s="374"/>
      <c r="F13" s="1015"/>
      <c r="G13" s="374"/>
      <c r="H13" s="1015"/>
      <c r="I13" s="374"/>
      <c r="J13" s="1015"/>
      <c r="K13" s="374"/>
      <c r="L13" s="1015"/>
      <c r="M13" s="374"/>
      <c r="N13" s="1015"/>
      <c r="O13" s="374"/>
      <c r="P13" s="1015"/>
      <c r="Q13" s="374"/>
      <c r="R13" s="1015"/>
      <c r="S13" s="374"/>
      <c r="T13" s="1015"/>
      <c r="U13" s="374"/>
      <c r="V13" s="1015"/>
      <c r="W13" s="374"/>
      <c r="X13" s="1015"/>
      <c r="Y13" s="374"/>
      <c r="Z13" s="374"/>
      <c r="AA13" s="1015"/>
      <c r="AB13" s="374"/>
      <c r="AC13" s="374"/>
      <c r="AD13" s="1015"/>
      <c r="AE13" s="1636"/>
      <c r="AF13" s="1637"/>
    </row>
    <row r="14" spans="1:37">
      <c r="A14" s="1248" t="s">
        <v>348</v>
      </c>
      <c r="B14" s="87">
        <v>24.6</v>
      </c>
      <c r="C14" s="20"/>
      <c r="D14" s="20">
        <f>B46</f>
        <v>-26.9</v>
      </c>
      <c r="E14" s="20"/>
      <c r="F14" s="20">
        <f>D46</f>
        <v>-30.5</v>
      </c>
      <c r="G14" s="20"/>
      <c r="H14" s="20">
        <f>F46</f>
        <v>-16.100000000000001</v>
      </c>
      <c r="I14" s="20"/>
      <c r="J14" s="20">
        <f>H46</f>
        <v>-35.799999999999997</v>
      </c>
      <c r="K14" s="20"/>
      <c r="L14" s="20">
        <f>J46</f>
        <v>-36.9</v>
      </c>
      <c r="M14" s="20"/>
      <c r="N14" s="20">
        <f>L46</f>
        <v>-30.5</v>
      </c>
      <c r="O14" s="20"/>
      <c r="P14" s="20">
        <f>N46</f>
        <v>-32.299999999999997</v>
      </c>
      <c r="Q14" s="20"/>
      <c r="R14" s="20">
        <f>P46</f>
        <v>2.1</v>
      </c>
      <c r="S14" s="20"/>
      <c r="T14" s="20">
        <f>R46</f>
        <v>-10.7</v>
      </c>
      <c r="U14" s="20"/>
      <c r="V14" s="20">
        <f>T46</f>
        <v>-21.1</v>
      </c>
      <c r="W14" s="20"/>
      <c r="X14" s="20"/>
      <c r="Y14" s="20"/>
      <c r="Z14" s="21"/>
      <c r="AA14" s="20">
        <f>B14</f>
        <v>24.6</v>
      </c>
      <c r="AB14" s="1273"/>
      <c r="AC14" s="20"/>
      <c r="AD14" s="2073">
        <v>-41.6</v>
      </c>
      <c r="AE14" s="301"/>
      <c r="AF14" s="1817"/>
      <c r="AG14" s="20">
        <f>ROUND(SUM(AA14-AD14),1)</f>
        <v>66.2</v>
      </c>
      <c r="AI14" s="1640">
        <f>-ROUND(IF(AG14=0,0,AG14/(AD14)),3)</f>
        <v>1.591</v>
      </c>
      <c r="AJ14" s="1567"/>
      <c r="AK14" s="1567"/>
    </row>
    <row r="15" spans="1:37">
      <c r="A15" s="301"/>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875"/>
      <c r="AA15" s="301"/>
      <c r="AB15" s="1846"/>
      <c r="AC15" s="301"/>
      <c r="AD15" s="301"/>
      <c r="AE15" s="301"/>
      <c r="AF15" s="1817"/>
      <c r="AJ15" s="1567"/>
      <c r="AK15" s="1567"/>
    </row>
    <row r="16" spans="1:37">
      <c r="A16" s="3" t="s">
        <v>114</v>
      </c>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875"/>
      <c r="AA16" s="301"/>
      <c r="AB16" s="1846"/>
      <c r="AC16" s="301"/>
      <c r="AD16" s="301"/>
      <c r="AE16" s="298"/>
      <c r="AF16" s="1822"/>
      <c r="AG16" s="274"/>
      <c r="AI16" s="945"/>
      <c r="AJ16" s="1567"/>
      <c r="AK16" s="1567"/>
    </row>
    <row r="17" spans="1:37">
      <c r="A17" s="301" t="s">
        <v>599</v>
      </c>
      <c r="B17" s="274">
        <v>27.8</v>
      </c>
      <c r="C17" s="274"/>
      <c r="D17" s="274">
        <v>38.900000000000006</v>
      </c>
      <c r="E17" s="274"/>
      <c r="F17" s="274">
        <v>54.499999999999986</v>
      </c>
      <c r="G17" s="274"/>
      <c r="H17" s="274">
        <v>45.399999999999991</v>
      </c>
      <c r="I17" s="274"/>
      <c r="J17" s="274">
        <v>40.400000000000006</v>
      </c>
      <c r="K17" s="274"/>
      <c r="L17" s="274">
        <v>58.100000000000037</v>
      </c>
      <c r="M17" s="274"/>
      <c r="N17" s="274">
        <v>54.399999999999977</v>
      </c>
      <c r="O17" s="274"/>
      <c r="P17" s="274">
        <v>94.600000000000023</v>
      </c>
      <c r="Q17" s="274"/>
      <c r="R17" s="274">
        <v>50.199999999999989</v>
      </c>
      <c r="S17" s="274"/>
      <c r="T17" s="274">
        <v>49.400000000000034</v>
      </c>
      <c r="U17" s="274"/>
      <c r="V17" s="274">
        <f>$AA17-SUM($B17:T17)</f>
        <v>74.299999999999955</v>
      </c>
      <c r="W17" s="274"/>
      <c r="X17" s="274"/>
      <c r="Y17" s="274"/>
      <c r="Z17" s="534"/>
      <c r="AA17" s="1012">
        <v>588</v>
      </c>
      <c r="AB17" s="274"/>
      <c r="AC17" s="535" t="s">
        <v>103</v>
      </c>
      <c r="AD17" s="1012">
        <v>528.79999999999995</v>
      </c>
      <c r="AE17" s="26"/>
      <c r="AF17" s="1822"/>
      <c r="AG17" s="393">
        <f>ROUND(SUM(AA17-AD17),1)</f>
        <v>59.2</v>
      </c>
      <c r="AI17" s="1662">
        <f>ROUND(IF(AG17=0,0,AG17/ABS(AD17)),3)</f>
        <v>0.112</v>
      </c>
      <c r="AJ17" s="1567"/>
      <c r="AK17" s="1567"/>
    </row>
    <row r="18" spans="1:37">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4"/>
      <c r="AC18" s="274"/>
      <c r="AD18" s="274"/>
      <c r="AE18" s="274"/>
      <c r="AF18" s="1822"/>
      <c r="AG18" s="274"/>
      <c r="AJ18" s="1567"/>
      <c r="AK18" s="1567"/>
    </row>
    <row r="19" spans="1:37">
      <c r="A19" s="3" t="s">
        <v>435</v>
      </c>
      <c r="B19" s="13">
        <f>ROUND(SUM(B17),1)</f>
        <v>27.8</v>
      </c>
      <c r="C19" s="13"/>
      <c r="D19" s="13">
        <f>ROUND(SUM(D17),1)</f>
        <v>38.9</v>
      </c>
      <c r="E19" s="13"/>
      <c r="F19" s="13">
        <f>ROUND(SUM(F17),1)</f>
        <v>54.5</v>
      </c>
      <c r="G19" s="13"/>
      <c r="H19" s="13">
        <f>ROUND(SUM(H17),1)</f>
        <v>45.4</v>
      </c>
      <c r="I19" s="13"/>
      <c r="J19" s="13">
        <f>ROUND(SUM(J17),1)</f>
        <v>40.4</v>
      </c>
      <c r="K19" s="13"/>
      <c r="L19" s="13">
        <f>ROUND(SUM(L17),1)</f>
        <v>58.1</v>
      </c>
      <c r="M19" s="13"/>
      <c r="N19" s="13">
        <f>ROUND(SUM(N17),1)</f>
        <v>54.4</v>
      </c>
      <c r="O19" s="13"/>
      <c r="P19" s="13">
        <f>ROUND(SUM(P17),1)</f>
        <v>94.6</v>
      </c>
      <c r="Q19" s="13"/>
      <c r="R19" s="13">
        <f>ROUND(SUM(R17),1)</f>
        <v>50.2</v>
      </c>
      <c r="S19" s="13"/>
      <c r="T19" s="13">
        <f>ROUND(SUM(T17),1)</f>
        <v>49.4</v>
      </c>
      <c r="U19" s="13"/>
      <c r="V19" s="13">
        <f>ROUND(SUM(V17),1)</f>
        <v>74.3</v>
      </c>
      <c r="W19" s="13"/>
      <c r="X19" s="13">
        <f>ROUND(SUM(X17),1)</f>
        <v>0</v>
      </c>
      <c r="Y19" s="13"/>
      <c r="Z19" s="14"/>
      <c r="AA19" s="13">
        <f>ROUND(SUM(AA17),1)</f>
        <v>588</v>
      </c>
      <c r="AB19" s="1266"/>
      <c r="AC19" s="13"/>
      <c r="AD19" s="13">
        <f>ROUND(SUM(AD17),1)</f>
        <v>528.79999999999995</v>
      </c>
      <c r="AE19" s="274"/>
      <c r="AF19" s="1822"/>
      <c r="AG19" s="367">
        <f>ROUND(SUM(AG17),1)</f>
        <v>59.2</v>
      </c>
      <c r="AH19" s="40"/>
      <c r="AI19" s="532">
        <f>ROUND(IF(AG19=0,0,AG19/ABS(AD19)),3)</f>
        <v>0.112</v>
      </c>
      <c r="AJ19" s="1567"/>
      <c r="AK19" s="1567"/>
    </row>
    <row r="20" spans="1:37">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4"/>
      <c r="AC20" s="274"/>
      <c r="AD20" s="629"/>
      <c r="AE20" s="274"/>
      <c r="AF20" s="1822"/>
      <c r="AG20" s="274"/>
      <c r="AJ20" s="1567"/>
      <c r="AK20" s="1567"/>
    </row>
    <row r="21" spans="1:37">
      <c r="A21" s="301"/>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534"/>
      <c r="AA21" s="274"/>
      <c r="AB21" s="1264"/>
      <c r="AC21" s="274"/>
      <c r="AD21" s="274"/>
      <c r="AE21" s="299"/>
      <c r="AF21" s="413"/>
      <c r="AG21" s="274"/>
      <c r="AI21" s="945"/>
      <c r="AJ21" s="1567"/>
      <c r="AK21" s="1567"/>
    </row>
    <row r="22" spans="1:37">
      <c r="A22" s="3" t="s">
        <v>122</v>
      </c>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534"/>
      <c r="AA22" s="274"/>
      <c r="AB22" s="1264"/>
      <c r="AC22" s="274"/>
      <c r="AD22" s="274"/>
      <c r="AE22" s="285"/>
      <c r="AF22" s="413"/>
      <c r="AG22" s="274"/>
      <c r="AH22" s="1643"/>
      <c r="AI22" s="945"/>
      <c r="AJ22" s="1567"/>
      <c r="AK22" s="1567"/>
    </row>
    <row r="23" spans="1:37">
      <c r="A23" s="301" t="s">
        <v>461</v>
      </c>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534"/>
      <c r="AA23" s="285"/>
      <c r="AB23" s="1264"/>
      <c r="AC23" s="274"/>
      <c r="AD23" s="285"/>
      <c r="AE23" s="299"/>
      <c r="AF23" s="413"/>
      <c r="AG23" s="274"/>
      <c r="AI23" s="945"/>
      <c r="AJ23" s="1567"/>
      <c r="AK23" s="1567"/>
    </row>
    <row r="24" spans="1:37">
      <c r="A24" s="301" t="s">
        <v>601</v>
      </c>
      <c r="B24" s="274">
        <v>11.3</v>
      </c>
      <c r="C24" s="274"/>
      <c r="D24" s="274">
        <v>11.799999999999997</v>
      </c>
      <c r="E24" s="274"/>
      <c r="F24" s="274">
        <v>11.3</v>
      </c>
      <c r="G24" s="274"/>
      <c r="H24" s="274">
        <v>16.499999999999996</v>
      </c>
      <c r="I24" s="274"/>
      <c r="J24" s="274">
        <v>11.5</v>
      </c>
      <c r="K24" s="274"/>
      <c r="L24" s="274">
        <v>11.400000000000009</v>
      </c>
      <c r="M24" s="274"/>
      <c r="N24" s="274">
        <v>11.800000000000011</v>
      </c>
      <c r="O24" s="274"/>
      <c r="P24" s="274">
        <v>11.599999999999994</v>
      </c>
      <c r="Q24" s="274"/>
      <c r="R24" s="274">
        <v>10.899999999999991</v>
      </c>
      <c r="S24" s="274"/>
      <c r="T24" s="274">
        <v>11.200000000000017</v>
      </c>
      <c r="U24" s="274"/>
      <c r="V24" s="274">
        <f>$AA24-SUM($B24:T24)</f>
        <v>11</v>
      </c>
      <c r="W24" s="274"/>
      <c r="X24" s="274"/>
      <c r="Y24" s="274"/>
      <c r="Z24" s="534"/>
      <c r="AA24" s="542">
        <v>130.30000000000001</v>
      </c>
      <c r="AB24" s="274"/>
      <c r="AC24" s="535" t="s">
        <v>103</v>
      </c>
      <c r="AD24" s="542">
        <v>133.6</v>
      </c>
      <c r="AE24" s="16"/>
      <c r="AF24" s="413"/>
      <c r="AG24" s="274">
        <f>ROUND(SUM(AA24-AD24),1)</f>
        <v>-3.3</v>
      </c>
      <c r="AI24" s="531">
        <f>ROUND(IF(AG24=0,0,AG24/ABS(AD24)),3)</f>
        <v>-2.5000000000000001E-2</v>
      </c>
      <c r="AJ24" s="1567"/>
      <c r="AK24" s="1567"/>
    </row>
    <row r="25" spans="1:37">
      <c r="A25" s="301" t="s">
        <v>543</v>
      </c>
      <c r="B25" s="274">
        <v>70.900000000000006</v>
      </c>
      <c r="C25" s="274"/>
      <c r="D25" s="274">
        <v>22.199999999999989</v>
      </c>
      <c r="E25" s="274"/>
      <c r="F25" s="274">
        <v>56.700000000000017</v>
      </c>
      <c r="G25" s="274"/>
      <c r="H25" s="274">
        <v>40.899999999999977</v>
      </c>
      <c r="I25" s="274"/>
      <c r="J25" s="274">
        <v>52.200000000000017</v>
      </c>
      <c r="K25" s="274"/>
      <c r="L25" s="274">
        <v>41.400000000000006</v>
      </c>
      <c r="M25" s="274"/>
      <c r="N25" s="274">
        <v>39.5</v>
      </c>
      <c r="O25" s="274"/>
      <c r="P25" s="274">
        <v>46.5</v>
      </c>
      <c r="Q25" s="274"/>
      <c r="R25" s="274">
        <v>47.399999999999977</v>
      </c>
      <c r="S25" s="274"/>
      <c r="T25" s="274">
        <v>45.800000000000011</v>
      </c>
      <c r="U25" s="274"/>
      <c r="V25" s="274">
        <f>$AA25-SUM($B25:T25)</f>
        <v>66.5</v>
      </c>
      <c r="W25" s="274"/>
      <c r="X25" s="274"/>
      <c r="Y25" s="274"/>
      <c r="Z25" s="534"/>
      <c r="AA25" s="542">
        <v>530</v>
      </c>
      <c r="AB25" s="274"/>
      <c r="AC25" s="535" t="s">
        <v>103</v>
      </c>
      <c r="AD25" s="542">
        <v>448.5</v>
      </c>
      <c r="AE25" s="274"/>
      <c r="AF25" s="1822"/>
      <c r="AG25" s="274">
        <f>ROUND(SUM(AA25-AD25),1)</f>
        <v>81.5</v>
      </c>
      <c r="AI25" s="531">
        <f>ROUND(IF(AG25=0,0,AG25/ABS(AD25)),3)</f>
        <v>0.182</v>
      </c>
      <c r="AJ25" s="1567"/>
      <c r="AK25" s="1567"/>
    </row>
    <row r="26" spans="1:37">
      <c r="A26" s="301" t="s">
        <v>464</v>
      </c>
      <c r="B26" s="274">
        <v>0</v>
      </c>
      <c r="C26" s="274"/>
      <c r="D26" s="274">
        <v>9.9</v>
      </c>
      <c r="E26" s="274"/>
      <c r="F26" s="274">
        <v>5.6</v>
      </c>
      <c r="G26" s="274"/>
      <c r="H26" s="274">
        <v>8.6000000000000014</v>
      </c>
      <c r="I26" s="274"/>
      <c r="J26" s="274">
        <v>2.5999999999999961</v>
      </c>
      <c r="K26" s="274"/>
      <c r="L26" s="274">
        <v>5.7000000000000011</v>
      </c>
      <c r="M26" s="274"/>
      <c r="N26" s="274">
        <v>8.3999999999999986</v>
      </c>
      <c r="O26" s="274"/>
      <c r="P26" s="274">
        <v>5.7000000000000028</v>
      </c>
      <c r="Q26" s="274"/>
      <c r="R26" s="274">
        <v>1.8999999999999986</v>
      </c>
      <c r="S26" s="274"/>
      <c r="T26" s="274">
        <v>5.5</v>
      </c>
      <c r="U26" s="274"/>
      <c r="V26" s="274">
        <f>$AA26-SUM($B26:T26)</f>
        <v>5.3000000000000043</v>
      </c>
      <c r="W26" s="274"/>
      <c r="X26" s="274"/>
      <c r="Y26" s="274"/>
      <c r="Z26" s="534"/>
      <c r="AA26" s="542">
        <v>59.2</v>
      </c>
      <c r="AB26" s="274"/>
      <c r="AC26" s="535" t="s">
        <v>103</v>
      </c>
      <c r="AD26" s="542">
        <v>64.8</v>
      </c>
      <c r="AE26" s="274"/>
      <c r="AF26" s="1822"/>
      <c r="AG26" s="393">
        <f>ROUND(SUM(AA26-AD26),1)</f>
        <v>-5.6</v>
      </c>
      <c r="AI26" s="1647">
        <f>ROUND(IF(AG26=0,0,AG26/ABS(AD26)),3)</f>
        <v>-8.5999999999999993E-2</v>
      </c>
      <c r="AJ26" s="1567"/>
      <c r="AK26" s="1567"/>
    </row>
    <row r="27" spans="1:37">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4"/>
      <c r="AC27" s="274"/>
      <c r="AD27" s="629"/>
      <c r="AE27" s="26"/>
      <c r="AF27" s="413"/>
      <c r="AG27" s="274"/>
      <c r="AH27" s="278"/>
      <c r="AI27" s="945"/>
      <c r="AJ27" s="1567"/>
      <c r="AK27" s="1567"/>
    </row>
    <row r="28" spans="1:37">
      <c r="A28" s="3" t="s">
        <v>465</v>
      </c>
      <c r="B28" s="13">
        <f>ROUND(SUM(B24:B27),1)</f>
        <v>82.2</v>
      </c>
      <c r="C28" s="13"/>
      <c r="D28" s="13">
        <f>ROUND(SUM(D24:D27),1)</f>
        <v>43.9</v>
      </c>
      <c r="E28" s="13"/>
      <c r="F28" s="13">
        <f>ROUND(SUM(F24:F27),1)</f>
        <v>73.599999999999994</v>
      </c>
      <c r="G28" s="13"/>
      <c r="H28" s="13">
        <f>ROUND(SUM(H24:H27),1)</f>
        <v>66</v>
      </c>
      <c r="I28" s="13"/>
      <c r="J28" s="13">
        <f>ROUND(SUM(J24:J27),1)</f>
        <v>66.3</v>
      </c>
      <c r="K28" s="13"/>
      <c r="L28" s="13">
        <f>ROUND(SUM(L24:L27),1)</f>
        <v>58.5</v>
      </c>
      <c r="M28" s="13"/>
      <c r="N28" s="13">
        <f>ROUND(SUM(N24:N27),1)</f>
        <v>59.7</v>
      </c>
      <c r="O28" s="13"/>
      <c r="P28" s="13">
        <f>ROUND(SUM(P24:P27),1)</f>
        <v>63.8</v>
      </c>
      <c r="Q28" s="13"/>
      <c r="R28" s="13">
        <f>ROUND(SUM(R24:R27),1)</f>
        <v>60.2</v>
      </c>
      <c r="S28" s="13"/>
      <c r="T28" s="13">
        <f>ROUND(SUM(T24:T27),1)</f>
        <v>62.5</v>
      </c>
      <c r="U28" s="13"/>
      <c r="V28" s="13">
        <f>ROUND(SUM(V24:V27),1)</f>
        <v>82.8</v>
      </c>
      <c r="W28" s="13">
        <f>SUM(W24:W27)</f>
        <v>0</v>
      </c>
      <c r="X28" s="13">
        <f>ROUND(SUM(X24:X27),1)</f>
        <v>0</v>
      </c>
      <c r="Y28" s="13"/>
      <c r="Z28" s="14"/>
      <c r="AA28" s="13">
        <f>ROUND(SUM(AA24:AA27),1)</f>
        <v>719.5</v>
      </c>
      <c r="AB28" s="1266"/>
      <c r="AC28" s="13"/>
      <c r="AD28" s="13">
        <f>ROUND(SUM(AD24:AD27),1)</f>
        <v>646.9</v>
      </c>
      <c r="AE28" s="274"/>
      <c r="AF28" s="1831"/>
      <c r="AG28" s="367">
        <f>ROUND(SUM(AG24:AG26),1)</f>
        <v>72.599999999999994</v>
      </c>
      <c r="AH28" s="40"/>
      <c r="AI28" s="532">
        <f>ROUND(IF(AG28=0,0,AG28/ABS(AD28)),3)</f>
        <v>0.112</v>
      </c>
      <c r="AJ28" s="1567"/>
      <c r="AK28" s="1567"/>
    </row>
    <row r="29" spans="1:37">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4"/>
      <c r="AC29" s="274"/>
      <c r="AD29" s="629"/>
      <c r="AE29" s="274"/>
      <c r="AF29" s="1831"/>
      <c r="AG29" s="274"/>
      <c r="AJ29" s="1567"/>
      <c r="AK29" s="1567"/>
    </row>
    <row r="30" spans="1:37">
      <c r="A30" s="30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534"/>
      <c r="AA30" s="274"/>
      <c r="AB30" s="1264"/>
      <c r="AC30" s="274"/>
      <c r="AD30" s="274"/>
      <c r="AE30" s="285"/>
      <c r="AF30" s="1831"/>
      <c r="AG30" s="274"/>
      <c r="AH30" s="1643"/>
      <c r="AI30" s="945"/>
      <c r="AJ30" s="1567"/>
      <c r="AK30" s="1567"/>
    </row>
    <row r="31" spans="1:37">
      <c r="A31" s="3" t="s">
        <v>466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534"/>
      <c r="AA31" s="274"/>
      <c r="AB31" s="1264"/>
      <c r="AC31" s="274"/>
      <c r="AD31" s="274"/>
      <c r="AE31" s="16"/>
      <c r="AF31" s="1836"/>
      <c r="AG31" s="274"/>
      <c r="AH31" s="1643"/>
      <c r="AI31" s="945"/>
      <c r="AJ31" s="1567"/>
      <c r="AK31" s="1567"/>
    </row>
    <row r="32" spans="1:37">
      <c r="A32" s="3" t="s">
        <v>144</v>
      </c>
      <c r="B32" s="13">
        <f>ROUND(B19-B28,1)</f>
        <v>-54.4</v>
      </c>
      <c r="C32" s="13"/>
      <c r="D32" s="13">
        <f>ROUND(D19-D28,1)</f>
        <v>-5</v>
      </c>
      <c r="E32" s="13"/>
      <c r="F32" s="13">
        <f>ROUND(F19-F28,1)</f>
        <v>-19.100000000000001</v>
      </c>
      <c r="G32" s="13"/>
      <c r="H32" s="13">
        <f>ROUND(H19-H28,1)</f>
        <v>-20.6</v>
      </c>
      <c r="I32" s="13"/>
      <c r="J32" s="13">
        <f>ROUND(J19-J28,1)</f>
        <v>-25.9</v>
      </c>
      <c r="K32" s="13"/>
      <c r="L32" s="13">
        <f>ROUND(L19-L28,1)</f>
        <v>-0.4</v>
      </c>
      <c r="M32" s="13"/>
      <c r="N32" s="13">
        <f>ROUND(N19-N28,1)</f>
        <v>-5.3</v>
      </c>
      <c r="O32" s="13"/>
      <c r="P32" s="13">
        <f>ROUND(P19-P28,1)</f>
        <v>30.8</v>
      </c>
      <c r="Q32" s="13"/>
      <c r="R32" s="13">
        <f>ROUND(R19-R28,1)</f>
        <v>-10</v>
      </c>
      <c r="S32" s="13"/>
      <c r="T32" s="13">
        <f>ROUND(T19-T28,1)</f>
        <v>-13.1</v>
      </c>
      <c r="U32" s="13"/>
      <c r="V32" s="13">
        <f>ROUND(V19-V28,1)</f>
        <v>-8.5</v>
      </c>
      <c r="W32" s="13"/>
      <c r="X32" s="13">
        <f>ROUND(X19-X28,1)</f>
        <v>0</v>
      </c>
      <c r="Y32" s="13"/>
      <c r="Z32" s="14"/>
      <c r="AA32" s="13">
        <f>ROUND(AA19-AA28,1)</f>
        <v>-131.5</v>
      </c>
      <c r="AB32" s="1266"/>
      <c r="AC32" s="13"/>
      <c r="AD32" s="13">
        <f>ROUND(AD19-AD28,1)</f>
        <v>-118.1</v>
      </c>
      <c r="AE32" s="274"/>
      <c r="AF32" s="1822"/>
      <c r="AG32" s="367">
        <f>ROUND(SUM(AG19-AG28),1)</f>
        <v>-13.4</v>
      </c>
      <c r="AH32" s="40"/>
      <c r="AI32" s="690">
        <f>ROUND(IF(AG32=0,0,AG32/ABS(AD32)),3)</f>
        <v>-0.113</v>
      </c>
      <c r="AJ32" s="1567"/>
      <c r="AK32" s="1567"/>
    </row>
    <row r="33" spans="1:37">
      <c r="A33" s="301"/>
      <c r="B33" s="629"/>
      <c r="C33" s="274"/>
      <c r="D33" s="629"/>
      <c r="E33" s="274"/>
      <c r="F33" s="629"/>
      <c r="G33" s="274"/>
      <c r="H33" s="629"/>
      <c r="I33" s="274"/>
      <c r="J33" s="629"/>
      <c r="K33" s="274"/>
      <c r="L33" s="629"/>
      <c r="M33" s="274"/>
      <c r="N33" s="629"/>
      <c r="O33" s="274"/>
      <c r="P33" s="629"/>
      <c r="Q33" s="274"/>
      <c r="R33" s="629"/>
      <c r="S33" s="274"/>
      <c r="T33" s="629"/>
      <c r="U33" s="274"/>
      <c r="V33" s="629"/>
      <c r="W33" s="274"/>
      <c r="X33" s="629"/>
      <c r="Y33" s="274"/>
      <c r="Z33" s="534"/>
      <c r="AA33" s="629"/>
      <c r="AB33" s="1264"/>
      <c r="AC33" s="274"/>
      <c r="AD33" s="629"/>
      <c r="AE33" s="274"/>
      <c r="AF33" s="1822"/>
      <c r="AG33" s="274"/>
      <c r="AJ33" s="1567"/>
      <c r="AK33" s="1567"/>
    </row>
    <row r="34" spans="1:37">
      <c r="A34" s="301"/>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534"/>
      <c r="AA34" s="274"/>
      <c r="AB34" s="1264"/>
      <c r="AC34" s="274"/>
      <c r="AD34" s="274"/>
      <c r="AE34" s="26"/>
      <c r="AF34" s="97"/>
      <c r="AG34" s="274"/>
      <c r="AI34" s="945"/>
      <c r="AJ34" s="1567"/>
      <c r="AK34" s="1567"/>
    </row>
    <row r="35" spans="1:37">
      <c r="A35" s="3" t="s">
        <v>145</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534"/>
      <c r="AA35" s="274"/>
      <c r="AB35" s="1264"/>
      <c r="AC35" s="274"/>
      <c r="AD35" s="274"/>
      <c r="AE35" s="20"/>
      <c r="AF35" s="414"/>
      <c r="AG35" s="284"/>
      <c r="AH35" s="390"/>
      <c r="AI35" s="945"/>
      <c r="AJ35" s="1567"/>
      <c r="AK35" s="1567"/>
    </row>
    <row r="36" spans="1:37">
      <c r="A36" s="301" t="s">
        <v>545</v>
      </c>
      <c r="B36" s="274">
        <v>2.9</v>
      </c>
      <c r="C36" s="274"/>
      <c r="D36" s="274">
        <v>1.4</v>
      </c>
      <c r="E36" s="274"/>
      <c r="F36" s="274">
        <v>37.300000000000004</v>
      </c>
      <c r="G36" s="274"/>
      <c r="H36" s="274">
        <v>1.1000000000000014</v>
      </c>
      <c r="I36" s="274"/>
      <c r="J36" s="274">
        <v>24.79999999999999</v>
      </c>
      <c r="K36" s="274"/>
      <c r="L36" s="274">
        <v>6.8000000000000043</v>
      </c>
      <c r="M36" s="274"/>
      <c r="N36" s="274">
        <v>3.5</v>
      </c>
      <c r="O36" s="274"/>
      <c r="P36" s="274">
        <v>3.6999999999999886</v>
      </c>
      <c r="Q36" s="274"/>
      <c r="R36" s="274">
        <v>1.7000000000000028</v>
      </c>
      <c r="S36" s="274"/>
      <c r="T36" s="274">
        <v>2.7999999999999972</v>
      </c>
      <c r="U36" s="274"/>
      <c r="V36" s="274">
        <f>$AA36-SUM($B36:T36)</f>
        <v>5.0999999999999943</v>
      </c>
      <c r="W36" s="274"/>
      <c r="X36" s="274"/>
      <c r="Y36" s="274"/>
      <c r="Z36" s="534"/>
      <c r="AA36" s="542">
        <v>91.1</v>
      </c>
      <c r="AB36" s="274"/>
      <c r="AC36" s="535" t="s">
        <v>103</v>
      </c>
      <c r="AD36" s="542">
        <v>48.7</v>
      </c>
      <c r="AE36" s="278"/>
      <c r="AF36" s="417"/>
      <c r="AG36" s="274">
        <f>ROUND(SUM(AA36-AD36),1)</f>
        <v>42.4</v>
      </c>
      <c r="AH36" s="1643"/>
      <c r="AI36" s="531">
        <f>ROUND(IF(AG36=0,0,AG36/ABS(AD36)),3)</f>
        <v>0.871</v>
      </c>
      <c r="AJ36" s="1567"/>
      <c r="AK36" s="1567"/>
    </row>
    <row r="37" spans="1:37">
      <c r="A37" s="301" t="s">
        <v>546</v>
      </c>
      <c r="B37" s="274">
        <v>0</v>
      </c>
      <c r="C37" s="274"/>
      <c r="D37" s="274">
        <v>0</v>
      </c>
      <c r="E37" s="274"/>
      <c r="F37" s="274">
        <v>-3.8</v>
      </c>
      <c r="G37" s="274"/>
      <c r="H37" s="274">
        <v>-0.20000000000000018</v>
      </c>
      <c r="I37" s="274"/>
      <c r="J37" s="274">
        <v>0</v>
      </c>
      <c r="K37" s="274"/>
      <c r="L37" s="274">
        <v>0</v>
      </c>
      <c r="M37" s="274"/>
      <c r="N37" s="274">
        <v>0</v>
      </c>
      <c r="O37" s="274"/>
      <c r="P37" s="274">
        <v>-9.9999999999999645E-2</v>
      </c>
      <c r="Q37" s="274"/>
      <c r="R37" s="274">
        <v>-4.5</v>
      </c>
      <c r="S37" s="274"/>
      <c r="T37" s="274">
        <v>-9.9999999999999645E-2</v>
      </c>
      <c r="U37" s="274"/>
      <c r="V37" s="274">
        <f>$AA37-SUM($B37:T37)</f>
        <v>0</v>
      </c>
      <c r="W37" s="274"/>
      <c r="X37" s="274"/>
      <c r="Y37" s="274"/>
      <c r="Z37" s="534"/>
      <c r="AA37" s="542">
        <v>-8.6999999999999993</v>
      </c>
      <c r="AB37" s="274"/>
      <c r="AC37" s="535" t="s">
        <v>103</v>
      </c>
      <c r="AD37" s="542">
        <v>-8</v>
      </c>
      <c r="AE37" s="278"/>
      <c r="AF37" s="417"/>
      <c r="AG37" s="1847">
        <f>-ROUND(SUM(AA37-AD37),1)</f>
        <v>0.7</v>
      </c>
      <c r="AH37" s="1643"/>
      <c r="AI37" s="1052">
        <f>ROUND(IF(AG37=0,0,AG37/ABS(AD37)),3)</f>
        <v>8.7999999999999995E-2</v>
      </c>
      <c r="AJ37" s="1567"/>
      <c r="AK37" s="1567"/>
    </row>
    <row r="38" spans="1:37">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8"/>
      <c r="AB38" s="1264"/>
      <c r="AC38" s="274"/>
      <c r="AD38" s="1838"/>
      <c r="AE38" s="278"/>
      <c r="AF38" s="417"/>
      <c r="AJ38" s="1567"/>
      <c r="AK38" s="1567"/>
    </row>
    <row r="39" spans="1:37">
      <c r="A39" s="3" t="s">
        <v>596</v>
      </c>
      <c r="B39" s="13">
        <f>ROUND(SUM(B36:B38),1)</f>
        <v>2.9</v>
      </c>
      <c r="C39" s="13"/>
      <c r="D39" s="13">
        <f>ROUND(SUM(D36:D38),1)</f>
        <v>1.4</v>
      </c>
      <c r="E39" s="13"/>
      <c r="F39" s="13">
        <f>ROUND(SUM(F36:F38),1)</f>
        <v>33.5</v>
      </c>
      <c r="G39" s="13"/>
      <c r="H39" s="13">
        <f>ROUND(SUM(H36:H38),1)</f>
        <v>0.9</v>
      </c>
      <c r="I39" s="13"/>
      <c r="J39" s="13">
        <f>ROUND(SUM(J36:J38),1)</f>
        <v>24.8</v>
      </c>
      <c r="K39" s="13"/>
      <c r="L39" s="13">
        <f>ROUND(SUM(L36:L38),1)</f>
        <v>6.8</v>
      </c>
      <c r="M39" s="13"/>
      <c r="N39" s="13">
        <f>ROUND(SUM(N36:N38),1)</f>
        <v>3.5</v>
      </c>
      <c r="O39" s="13"/>
      <c r="P39" s="13">
        <f>ROUND(SUM(P36:P38),1)</f>
        <v>3.6</v>
      </c>
      <c r="Q39" s="13"/>
      <c r="R39" s="13">
        <f t="shared" ref="R39" si="0">ROUND(SUM(R36:R38),1)</f>
        <v>-2.8</v>
      </c>
      <c r="S39" s="13"/>
      <c r="T39" s="13">
        <f>ROUND(SUM(T36:T38),1)</f>
        <v>2.7</v>
      </c>
      <c r="U39" s="13"/>
      <c r="V39" s="13">
        <f>ROUND(SUM(V36:V38),1)</f>
        <v>5.0999999999999996</v>
      </c>
      <c r="W39" s="13"/>
      <c r="X39" s="13">
        <f>ROUND(SUM(X36:X38),1)</f>
        <v>0</v>
      </c>
      <c r="Y39" s="13"/>
      <c r="Z39" s="14"/>
      <c r="AA39" s="13">
        <f>ROUND(SUM(AA36:AA38),1)</f>
        <v>82.4</v>
      </c>
      <c r="AB39" s="1266"/>
      <c r="AC39" s="13"/>
      <c r="AD39" s="13">
        <f>ROUND(SUM(AD36:AD38),1)</f>
        <v>40.700000000000003</v>
      </c>
      <c r="AF39" s="413"/>
      <c r="AG39" s="367">
        <f>AA39-AD39</f>
        <v>41.7</v>
      </c>
      <c r="AH39" s="55"/>
      <c r="AI39" s="532">
        <f>ROUND(IF(AG39=0,0,AG39/ABS(AD39)),3)</f>
        <v>1.0249999999999999</v>
      </c>
      <c r="AJ39" s="1567"/>
      <c r="AK39" s="1567"/>
    </row>
    <row r="40" spans="1:37">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4"/>
      <c r="AC40" s="274"/>
      <c r="AD40" s="629"/>
      <c r="AE40" s="278"/>
      <c r="AF40" s="417"/>
      <c r="AJ40" s="1567"/>
      <c r="AK40" s="1567"/>
    </row>
    <row r="41" spans="1:37">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J41" s="1567"/>
      <c r="AK41" s="1567"/>
    </row>
    <row r="42" spans="1:37">
      <c r="A42" s="3" t="s">
        <v>477</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534"/>
      <c r="AA42" s="274"/>
      <c r="AB42" s="1264"/>
      <c r="AC42" s="274"/>
      <c r="AD42" s="274"/>
      <c r="AE42" s="278"/>
      <c r="AF42" s="417"/>
      <c r="AJ42" s="1567"/>
      <c r="AK42" s="1567"/>
    </row>
    <row r="43" spans="1:37">
      <c r="A43" s="3" t="s">
        <v>603</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534"/>
      <c r="AA43" s="274"/>
      <c r="AB43" s="1264"/>
      <c r="AC43" s="274"/>
      <c r="AD43" s="274"/>
      <c r="AE43" s="301"/>
      <c r="AF43" s="413"/>
      <c r="AJ43" s="1567"/>
      <c r="AK43" s="1567"/>
    </row>
    <row r="44" spans="1:37" s="15" customFormat="1">
      <c r="A44" s="3" t="s">
        <v>479</v>
      </c>
      <c r="B44" s="13">
        <f>ROUND(SUM(B32,B39),1)</f>
        <v>-51.5</v>
      </c>
      <c r="C44" s="13"/>
      <c r="D44" s="13">
        <f>ROUND(SUM(D32,D39),1)</f>
        <v>-3.6</v>
      </c>
      <c r="E44" s="13"/>
      <c r="F44" s="13">
        <f>ROUND(SUM(F32,F39),1)</f>
        <v>14.4</v>
      </c>
      <c r="G44" s="13"/>
      <c r="H44" s="13">
        <f>ROUND(SUM(H32,H39),1)</f>
        <v>-19.7</v>
      </c>
      <c r="I44" s="13"/>
      <c r="J44" s="13">
        <f>ROUND(SUM(J32,J39),1)</f>
        <v>-1.1000000000000001</v>
      </c>
      <c r="K44" s="13"/>
      <c r="L44" s="13">
        <f>ROUND(SUM(L32,L39),1)</f>
        <v>6.4</v>
      </c>
      <c r="M44" s="13"/>
      <c r="N44" s="13">
        <f>ROUND(SUM(N32,N39),1)</f>
        <v>-1.8</v>
      </c>
      <c r="O44" s="13"/>
      <c r="P44" s="13">
        <f>ROUND(SUM(P32,P39),1)</f>
        <v>34.4</v>
      </c>
      <c r="Q44" s="13"/>
      <c r="R44" s="13">
        <f>ROUND(SUM(R32,R39),1)</f>
        <v>-12.8</v>
      </c>
      <c r="S44" s="13"/>
      <c r="T44" s="13">
        <f>ROUND(SUM(T32,T39),1)</f>
        <v>-10.4</v>
      </c>
      <c r="U44" s="13"/>
      <c r="V44" s="13">
        <f>ROUND(SUM(V32,V39),1)</f>
        <v>-3.4</v>
      </c>
      <c r="W44" s="13"/>
      <c r="X44" s="13">
        <f>ROUND(SUM(X32,X39),1)</f>
        <v>0</v>
      </c>
      <c r="Y44" s="13"/>
      <c r="Z44" s="14"/>
      <c r="AA44" s="18">
        <f>ROUND(AA32+AA39,1)</f>
        <v>-49.1</v>
      </c>
      <c r="AB44" s="1266"/>
      <c r="AC44" s="13"/>
      <c r="AD44" s="18">
        <f>ROUND(AD32+AD39,1)</f>
        <v>-77.400000000000006</v>
      </c>
      <c r="AE44" s="112"/>
      <c r="AF44" s="413"/>
      <c r="AG44" s="367">
        <f>ROUND(SUM(AG32+AG39),1)</f>
        <v>28.3</v>
      </c>
      <c r="AH44" s="3"/>
      <c r="AI44" s="690">
        <f>ROUND(IF(AG44=0,0,AG44/ABS(AD44)),3)</f>
        <v>0.36599999999999999</v>
      </c>
      <c r="AJ44" s="1567"/>
      <c r="AK44" s="1567"/>
    </row>
    <row r="45" spans="1:37">
      <c r="A45" s="301"/>
      <c r="B45" s="1014"/>
      <c r="C45" s="301"/>
      <c r="D45" s="1014"/>
      <c r="E45" s="301"/>
      <c r="F45" s="1014"/>
      <c r="G45" s="301"/>
      <c r="H45" s="1014"/>
      <c r="I45" s="301"/>
      <c r="J45" s="1014"/>
      <c r="K45" s="301"/>
      <c r="L45" s="1014"/>
      <c r="M45" s="301"/>
      <c r="N45" s="1014"/>
      <c r="O45" s="301"/>
      <c r="P45" s="1014"/>
      <c r="Q45" s="301"/>
      <c r="R45" s="1014"/>
      <c r="S45" s="301"/>
      <c r="T45" s="1014"/>
      <c r="U45" s="301"/>
      <c r="V45" s="1014"/>
      <c r="W45" s="301"/>
      <c r="X45" s="1014"/>
      <c r="Y45" s="301"/>
      <c r="Z45" s="875"/>
      <c r="AA45" s="1014"/>
      <c r="AB45" s="1846"/>
      <c r="AC45" s="301"/>
      <c r="AD45" s="1014"/>
      <c r="AF45" s="413"/>
      <c r="AJ45" s="1567"/>
      <c r="AK45" s="1567"/>
    </row>
    <row r="46" spans="1:37" ht="16" thickBot="1">
      <c r="A46" s="1248" t="s">
        <v>441</v>
      </c>
      <c r="B46" s="20">
        <f>ROUND(SUM(B14,B44),1)</f>
        <v>-26.9</v>
      </c>
      <c r="C46" s="20"/>
      <c r="D46" s="20">
        <f>ROUND(SUM(D14,D44),1)</f>
        <v>-30.5</v>
      </c>
      <c r="E46" s="20"/>
      <c r="F46" s="20">
        <f>ROUND(SUM(F14,F44),1)</f>
        <v>-16.100000000000001</v>
      </c>
      <c r="G46" s="20"/>
      <c r="H46" s="20">
        <f>ROUND(SUM(H14,H44),1)</f>
        <v>-35.799999999999997</v>
      </c>
      <c r="I46" s="20"/>
      <c r="J46" s="20">
        <f>ROUND(SUM(J14,J44),1)</f>
        <v>-36.9</v>
      </c>
      <c r="K46" s="20"/>
      <c r="L46" s="20">
        <f>ROUND(SUM(L14,L44),1)</f>
        <v>-30.5</v>
      </c>
      <c r="M46" s="20"/>
      <c r="N46" s="20">
        <f>ROUND(SUM(N14,N44),1)</f>
        <v>-32.299999999999997</v>
      </c>
      <c r="O46" s="20"/>
      <c r="P46" s="20">
        <f>ROUND(SUM(P14,P44),1)</f>
        <v>2.1</v>
      </c>
      <c r="Q46" s="20"/>
      <c r="R46" s="74">
        <f>ROUND(SUM(R14,R44),1)</f>
        <v>-10.7</v>
      </c>
      <c r="S46" s="20"/>
      <c r="T46" s="20">
        <f>ROUND(SUM(T14,T44),1)</f>
        <v>-21.1</v>
      </c>
      <c r="U46" s="20"/>
      <c r="V46" s="20">
        <f>ROUND(SUM(V14,V44),1)</f>
        <v>-24.5</v>
      </c>
      <c r="W46" s="20"/>
      <c r="X46" s="20">
        <f>ROUND(SUM(X14,X44),1)</f>
        <v>0</v>
      </c>
      <c r="Y46" s="20"/>
      <c r="Z46" s="21"/>
      <c r="AA46" s="20">
        <f>ROUND(SUM(AA14,AA44),1)</f>
        <v>-24.5</v>
      </c>
      <c r="AB46" s="1273"/>
      <c r="AC46" s="20"/>
      <c r="AD46" s="20">
        <f>ROUND(SUM(AD14,AD44),1)</f>
        <v>-119</v>
      </c>
      <c r="AF46" s="413"/>
      <c r="AG46" s="74">
        <f>ROUND(SUM(AA46-AD46),1)</f>
        <v>94.5</v>
      </c>
      <c r="AH46" s="390"/>
      <c r="AI46" s="1656">
        <f>ROUND(IF(AG46=0,0,AG46/ABS(AD46)),3)</f>
        <v>0.79400000000000004</v>
      </c>
      <c r="AJ46" s="1567"/>
      <c r="AK46" s="1567"/>
    </row>
    <row r="47" spans="1:37" ht="16" thickTop="1">
      <c r="A47" s="301"/>
      <c r="B47" s="1848"/>
      <c r="C47" s="301"/>
      <c r="D47" s="1848"/>
      <c r="E47" s="301"/>
      <c r="F47" s="1848"/>
      <c r="G47" s="301"/>
      <c r="H47" s="1848"/>
      <c r="I47" s="301"/>
      <c r="J47" s="1848"/>
      <c r="K47" s="301"/>
      <c r="L47" s="1848"/>
      <c r="M47" s="301"/>
      <c r="N47" s="1848"/>
      <c r="O47" s="301"/>
      <c r="P47" s="1848"/>
      <c r="Q47" s="301"/>
      <c r="R47" s="301"/>
      <c r="S47" s="301"/>
      <c r="T47" s="1848"/>
      <c r="U47" s="301"/>
      <c r="V47" s="1848"/>
      <c r="W47" s="301"/>
      <c r="X47" s="1848"/>
      <c r="Y47" s="301"/>
      <c r="Z47" s="301"/>
      <c r="AA47" s="1848"/>
      <c r="AB47" s="301"/>
      <c r="AC47" s="301"/>
      <c r="AD47" s="1848"/>
    </row>
    <row r="49" spans="1:1">
      <c r="A49" s="1663"/>
    </row>
    <row r="50" spans="1:1">
      <c r="A50" s="374"/>
    </row>
  </sheetData>
  <mergeCells count="2">
    <mergeCell ref="AA9:AI9"/>
    <mergeCell ref="Z10:AI10"/>
  </mergeCells>
  <printOptions horizontalCentered="1"/>
  <pageMargins left="0.25" right="0.25" top="0.5" bottom="0.25" header="0" footer="0.25"/>
  <pageSetup scale="44" firstPageNumber="36"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80" workbookViewId="0"/>
  </sheetViews>
  <sheetFormatPr defaultColWidth="8.69140625" defaultRowHeight="15.5"/>
  <cols>
    <col min="1" max="1" width="41.07421875" style="301" customWidth="1"/>
    <col min="2" max="2" width="11.69140625" style="301" customWidth="1"/>
    <col min="3" max="3" width="1.69140625" style="301" customWidth="1"/>
    <col min="4" max="4" width="11.69140625" style="301" customWidth="1"/>
    <col min="5" max="5" width="1.69140625" style="301" customWidth="1"/>
    <col min="6" max="6" width="11.69140625" style="301" customWidth="1"/>
    <col min="7" max="7" width="1.69140625" style="301" customWidth="1"/>
    <col min="8" max="8" width="11.69140625" style="301" customWidth="1"/>
    <col min="9" max="9" width="1.69140625" style="301" customWidth="1"/>
    <col min="10" max="10" width="11.69140625" style="301" customWidth="1"/>
    <col min="11" max="11" width="1.69140625" style="301" customWidth="1"/>
    <col min="12" max="12" width="12.69140625" style="301" customWidth="1"/>
    <col min="13" max="13" width="1.69140625" style="301" customWidth="1"/>
    <col min="14" max="14" width="11.69140625" style="301" customWidth="1"/>
    <col min="15" max="15" width="1.69140625" style="301" customWidth="1"/>
    <col min="16" max="16" width="11.69140625" style="301" customWidth="1"/>
    <col min="17" max="17" width="1.69140625" style="301" customWidth="1"/>
    <col min="18" max="18" width="11.69140625" style="301" customWidth="1"/>
    <col min="19" max="19" width="1.69140625" style="301" customWidth="1"/>
    <col min="20" max="20" width="11.69140625" style="301" customWidth="1"/>
    <col min="21" max="21" width="1.69140625" style="301" customWidth="1"/>
    <col min="22" max="22" width="11.69140625" style="301" customWidth="1"/>
    <col min="23" max="23" width="1.69140625" style="301" customWidth="1"/>
    <col min="24" max="24" width="11.69140625" style="301" customWidth="1"/>
    <col min="25" max="26" width="1.4609375" style="301" customWidth="1"/>
    <col min="27" max="27" width="12.07421875" style="301" customWidth="1"/>
    <col min="28" max="29" width="1.4609375" style="301" customWidth="1"/>
    <col min="30" max="30" width="12.07421875" style="301" customWidth="1"/>
    <col min="31" max="32" width="1.4609375" style="301" customWidth="1"/>
    <col min="33" max="33" width="11.69140625" style="301" customWidth="1"/>
    <col min="34" max="34" width="1.69140625" style="301" customWidth="1"/>
    <col min="35" max="35" width="11.69140625" style="301" customWidth="1"/>
    <col min="36" max="37" width="9.07421875" style="301" bestFit="1" customWidth="1"/>
    <col min="38" max="16384" width="8.69140625" style="301"/>
  </cols>
  <sheetData>
    <row r="1" spans="1:37">
      <c r="A1" s="275" t="s">
        <v>97</v>
      </c>
    </row>
    <row r="2" spans="1:37">
      <c r="A2" s="364"/>
    </row>
    <row r="3" spans="1:37">
      <c r="A3" s="3" t="s">
        <v>98</v>
      </c>
      <c r="K3" s="3"/>
      <c r="L3" s="3"/>
      <c r="AI3" s="1247" t="s">
        <v>607</v>
      </c>
    </row>
    <row r="4" spans="1:37">
      <c r="A4" s="1248" t="s">
        <v>226</v>
      </c>
      <c r="H4" s="3" t="s">
        <v>103</v>
      </c>
      <c r="K4" s="3"/>
      <c r="L4" s="3"/>
      <c r="X4" s="301" t="s">
        <v>103</v>
      </c>
    </row>
    <row r="5" spans="1:37">
      <c r="A5" s="6" t="s">
        <v>335</v>
      </c>
      <c r="K5" s="3"/>
      <c r="L5" s="3"/>
      <c r="AB5" s="1247"/>
      <c r="AC5" s="1247"/>
      <c r="AE5" s="1247"/>
    </row>
    <row r="6" spans="1:37">
      <c r="A6" s="6" t="str">
        <f>'Cashflow Governmental'!A6</f>
        <v>FISCAL YEAR 2024-2025</v>
      </c>
      <c r="K6" s="3"/>
      <c r="L6" s="3"/>
    </row>
    <row r="7" spans="1:37">
      <c r="A7" s="3" t="s">
        <v>102</v>
      </c>
      <c r="K7" s="3"/>
    </row>
    <row r="8" spans="1:37">
      <c r="A8" s="3"/>
      <c r="K8" s="3"/>
    </row>
    <row r="9" spans="1:37">
      <c r="A9" s="1248"/>
    </row>
    <row r="10" spans="1:37">
      <c r="B10" s="1567"/>
      <c r="H10" s="3"/>
      <c r="I10" s="3"/>
      <c r="J10" s="3"/>
      <c r="Z10" s="2124" t="str">
        <f>'Cashflow Governmental'!$AB$12</f>
        <v>11 Months Ended February 28</v>
      </c>
      <c r="AA10" s="2124"/>
      <c r="AB10" s="2124"/>
      <c r="AC10" s="2124"/>
      <c r="AD10" s="2124"/>
      <c r="AE10" s="2124"/>
      <c r="AF10" s="2124"/>
      <c r="AG10" s="2124"/>
      <c r="AH10" s="2124"/>
      <c r="AI10" s="2124"/>
    </row>
    <row r="11" spans="1:37">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c r="B12" s="1249" t="s">
        <v>336</v>
      </c>
      <c r="C12" s="3"/>
      <c r="D12" s="1249" t="s">
        <v>337</v>
      </c>
      <c r="E12" s="3"/>
      <c r="F12" s="1249" t="s">
        <v>338</v>
      </c>
      <c r="G12" s="3"/>
      <c r="H12" s="1249" t="s">
        <v>339</v>
      </c>
      <c r="I12" s="3"/>
      <c r="J12" s="1252" t="s">
        <v>608</v>
      </c>
      <c r="K12" s="3"/>
      <c r="L12" s="1252" t="s">
        <v>453</v>
      </c>
      <c r="M12" s="3"/>
      <c r="N12" s="1252" t="s">
        <v>454</v>
      </c>
      <c r="O12" s="3"/>
      <c r="P12" s="1249" t="s">
        <v>343</v>
      </c>
      <c r="Q12" s="3"/>
      <c r="R12" s="1249" t="s">
        <v>344</v>
      </c>
      <c r="S12" s="3"/>
      <c r="T12" s="1252" t="s">
        <v>345</v>
      </c>
      <c r="U12" s="3"/>
      <c r="V12" s="1249" t="s">
        <v>346</v>
      </c>
      <c r="W12" s="3"/>
      <c r="X12" s="1252" t="s">
        <v>455</v>
      </c>
      <c r="Y12" s="3"/>
      <c r="Z12" s="3"/>
      <c r="AA12" s="1249" t="str">
        <f>'Cashflow Governmental'!AB14</f>
        <v>2025</v>
      </c>
      <c r="AB12" s="55"/>
      <c r="AC12" s="55"/>
      <c r="AD12" s="1249" t="str">
        <f>'Cashflow Governmental'!AE14</f>
        <v>2024</v>
      </c>
      <c r="AE12" s="55"/>
      <c r="AF12" s="55"/>
      <c r="AG12" s="426" t="s">
        <v>112</v>
      </c>
      <c r="AH12" s="330"/>
      <c r="AI12" s="426" t="s">
        <v>113</v>
      </c>
    </row>
    <row r="13" spans="1:37" ht="7.4"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c r="A14" s="3" t="s">
        <v>348</v>
      </c>
      <c r="B14" s="87">
        <v>1562.5</v>
      </c>
      <c r="C14" s="20"/>
      <c r="D14" s="98">
        <f>B46</f>
        <v>1568.2</v>
      </c>
      <c r="E14" s="98"/>
      <c r="F14" s="98">
        <f>D46</f>
        <v>1567.4</v>
      </c>
      <c r="G14" s="44"/>
      <c r="H14" s="98">
        <f>F46</f>
        <v>1581.9</v>
      </c>
      <c r="I14" s="44"/>
      <c r="J14" s="98">
        <f>H46</f>
        <v>1589.2</v>
      </c>
      <c r="K14" s="44"/>
      <c r="L14" s="98">
        <f>J46</f>
        <v>1596.8</v>
      </c>
      <c r="M14" s="44"/>
      <c r="N14" s="98">
        <f>L46</f>
        <v>1606.3</v>
      </c>
      <c r="O14" s="44"/>
      <c r="P14" s="98">
        <f>N46</f>
        <v>1608</v>
      </c>
      <c r="Q14" s="98"/>
      <c r="R14" s="98">
        <f>P46</f>
        <v>1616.9</v>
      </c>
      <c r="S14" s="98"/>
      <c r="T14" s="98">
        <f>R46</f>
        <v>1623.8</v>
      </c>
      <c r="U14" s="98"/>
      <c r="V14" s="98">
        <f>T46</f>
        <v>1629.8</v>
      </c>
      <c r="W14" s="98"/>
      <c r="X14" s="98"/>
      <c r="Y14" s="1812"/>
      <c r="Z14" s="1813"/>
      <c r="AA14" s="98">
        <f>B14</f>
        <v>1562.5</v>
      </c>
      <c r="AB14" s="1812"/>
      <c r="AC14" s="1811"/>
      <c r="AD14" s="2073">
        <v>1255.7</v>
      </c>
      <c r="AE14" s="1636"/>
      <c r="AF14" s="1814"/>
      <c r="AG14" s="20">
        <f>ROUND(SUM(AA14-AD14),1)</f>
        <v>306.8</v>
      </c>
      <c r="AI14" s="291">
        <f>ROUND(IF(AD14=0,1,AG14/ABS(AD14)),3)</f>
        <v>0.24399999999999999</v>
      </c>
      <c r="AJ14" s="1567"/>
      <c r="AK14" s="1567"/>
    </row>
    <row r="15" spans="1:37">
      <c r="F15" s="284"/>
      <c r="G15" s="284"/>
      <c r="H15" s="284"/>
      <c r="I15" s="435"/>
      <c r="J15" s="435"/>
      <c r="K15" s="284"/>
      <c r="L15" s="435"/>
      <c r="M15" s="435"/>
      <c r="N15" s="435"/>
      <c r="O15" s="435"/>
      <c r="P15" s="435"/>
      <c r="Q15" s="435"/>
      <c r="R15" s="435"/>
      <c r="S15" s="435"/>
      <c r="T15" s="435"/>
      <c r="U15" s="435"/>
      <c r="V15" s="435"/>
      <c r="W15" s="435"/>
      <c r="X15" s="435"/>
      <c r="Y15" s="1815"/>
      <c r="Z15" s="1816"/>
      <c r="AB15" s="1815"/>
      <c r="AC15" s="1638"/>
      <c r="AF15" s="1817"/>
      <c r="AJ15" s="1567"/>
      <c r="AK15" s="1567"/>
    </row>
    <row r="16" spans="1:37">
      <c r="A16" s="3" t="s">
        <v>114</v>
      </c>
      <c r="F16" s="284"/>
      <c r="G16" s="284"/>
      <c r="H16" s="284"/>
      <c r="I16" s="435"/>
      <c r="J16" s="435"/>
      <c r="K16" s="284"/>
      <c r="L16" s="435"/>
      <c r="M16" s="435"/>
      <c r="N16" s="435"/>
      <c r="O16" s="435"/>
      <c r="P16" s="435"/>
      <c r="Q16" s="435"/>
      <c r="R16" s="435"/>
      <c r="S16" s="435"/>
      <c r="T16" s="435"/>
      <c r="U16" s="435"/>
      <c r="V16" s="435"/>
      <c r="W16" s="435"/>
      <c r="X16" s="435"/>
      <c r="Y16" s="1815"/>
      <c r="Z16" s="1816"/>
      <c r="AB16" s="1815"/>
      <c r="AC16" s="1638"/>
      <c r="AF16" s="1817"/>
      <c r="AJ16" s="1567"/>
      <c r="AK16" s="1567"/>
    </row>
    <row r="17" spans="1:37" s="10" customFormat="1">
      <c r="A17" s="301" t="s">
        <v>599</v>
      </c>
      <c r="B17" s="274">
        <v>12.3</v>
      </c>
      <c r="C17" s="274"/>
      <c r="D17" s="274">
        <v>23.2</v>
      </c>
      <c r="E17" s="274"/>
      <c r="F17" s="274">
        <v>26.899999999999995</v>
      </c>
      <c r="G17" s="274"/>
      <c r="H17" s="274">
        <v>22.100000000000005</v>
      </c>
      <c r="I17" s="274"/>
      <c r="J17" s="274">
        <v>19.400000000000009</v>
      </c>
      <c r="K17" s="274"/>
      <c r="L17" s="274">
        <v>21.199999999999985</v>
      </c>
      <c r="M17" s="274"/>
      <c r="N17" s="274">
        <v>16.400000000000006</v>
      </c>
      <c r="O17" s="274"/>
      <c r="P17" s="274">
        <v>64.199999999999989</v>
      </c>
      <c r="Q17" s="274"/>
      <c r="R17" s="274">
        <v>26</v>
      </c>
      <c r="S17" s="274"/>
      <c r="T17" s="274">
        <v>19.400000000000006</v>
      </c>
      <c r="U17" s="274"/>
      <c r="V17" s="274">
        <f>$AA17-SUM($B17:T17)</f>
        <v>19.599999999999994</v>
      </c>
      <c r="W17" s="274"/>
      <c r="X17" s="274"/>
      <c r="Y17" s="274"/>
      <c r="Z17" s="534"/>
      <c r="AA17" s="1012">
        <v>270.7</v>
      </c>
      <c r="AB17" s="274"/>
      <c r="AC17" s="535" t="s">
        <v>103</v>
      </c>
      <c r="AD17" s="1012">
        <v>249.2</v>
      </c>
      <c r="AE17" s="26"/>
      <c r="AF17" s="1822"/>
      <c r="AG17" s="393">
        <f>ROUND(SUM(AA17-AD17),1)</f>
        <v>21.5</v>
      </c>
      <c r="AH17" s="301"/>
      <c r="AI17" s="1662">
        <f>ROUND(IF(AG17=0,0,AG17/ABS(AD17)),3)</f>
        <v>8.5999999999999993E-2</v>
      </c>
      <c r="AJ17" s="1712"/>
      <c r="AK17" s="1713"/>
    </row>
    <row r="18" spans="1:37" s="10" customFormat="1">
      <c r="A18" s="301"/>
      <c r="B18" s="629"/>
      <c r="C18" s="274"/>
      <c r="D18" s="629"/>
      <c r="E18" s="274"/>
      <c r="F18" s="629"/>
      <c r="G18" s="274"/>
      <c r="H18" s="629"/>
      <c r="I18" s="274"/>
      <c r="J18" s="629"/>
      <c r="K18" s="274"/>
      <c r="L18" s="629"/>
      <c r="M18" s="274"/>
      <c r="N18" s="629"/>
      <c r="O18" s="274"/>
      <c r="P18" s="629"/>
      <c r="Q18" s="274"/>
      <c r="R18" s="629"/>
      <c r="S18" s="274"/>
      <c r="T18" s="629"/>
      <c r="U18" s="274"/>
      <c r="V18" s="629"/>
      <c r="W18" s="274"/>
      <c r="X18" s="629"/>
      <c r="Y18" s="274"/>
      <c r="Z18" s="534"/>
      <c r="AA18" s="274"/>
      <c r="AB18" s="1264"/>
      <c r="AC18" s="274"/>
      <c r="AD18" s="274"/>
      <c r="AE18" s="274"/>
      <c r="AF18" s="1822"/>
      <c r="AG18" s="274"/>
      <c r="AH18" s="301"/>
      <c r="AI18" s="301"/>
      <c r="AJ18" s="1712"/>
      <c r="AK18" s="1713"/>
    </row>
    <row r="19" spans="1:37" s="10" customFormat="1">
      <c r="A19" s="3" t="s">
        <v>435</v>
      </c>
      <c r="B19" s="13">
        <f>ROUND(SUM(B17),1)</f>
        <v>12.3</v>
      </c>
      <c r="C19" s="13"/>
      <c r="D19" s="13">
        <f>ROUND(SUM(D17),1)</f>
        <v>23.2</v>
      </c>
      <c r="E19" s="13"/>
      <c r="F19" s="13">
        <f>ROUND(SUM(F17),1)</f>
        <v>26.9</v>
      </c>
      <c r="G19" s="13"/>
      <c r="H19" s="13">
        <f>ROUND(SUM(H17),1)</f>
        <v>22.1</v>
      </c>
      <c r="I19" s="13"/>
      <c r="J19" s="13">
        <f>ROUND(SUM(J17),1)</f>
        <v>19.399999999999999</v>
      </c>
      <c r="K19" s="13"/>
      <c r="L19" s="13">
        <f>ROUND(SUM(L17),1)</f>
        <v>21.2</v>
      </c>
      <c r="M19" s="13"/>
      <c r="N19" s="13">
        <f>ROUND(SUM(N17),1)</f>
        <v>16.399999999999999</v>
      </c>
      <c r="O19" s="13"/>
      <c r="P19" s="13">
        <f>ROUND(SUM(P17),1)</f>
        <v>64.2</v>
      </c>
      <c r="Q19" s="13"/>
      <c r="R19" s="13">
        <f>ROUND(SUM(R17),1)</f>
        <v>26</v>
      </c>
      <c r="S19" s="13"/>
      <c r="T19" s="13">
        <f>ROUND(SUM(T17),1)</f>
        <v>19.399999999999999</v>
      </c>
      <c r="U19" s="13"/>
      <c r="V19" s="13">
        <f>ROUND(SUM(V17),1)</f>
        <v>19.600000000000001</v>
      </c>
      <c r="W19" s="13"/>
      <c r="X19" s="13">
        <f>ROUND(SUM(X17),1)</f>
        <v>0</v>
      </c>
      <c r="Y19" s="13"/>
      <c r="Z19" s="14"/>
      <c r="AA19" s="13">
        <f>ROUND(SUM(AA17),1)</f>
        <v>270.7</v>
      </c>
      <c r="AB19" s="1266"/>
      <c r="AC19" s="13"/>
      <c r="AD19" s="13">
        <f>ROUND(SUM(AD17),1)</f>
        <v>249.2</v>
      </c>
      <c r="AE19" s="274"/>
      <c r="AF19" s="1822"/>
      <c r="AG19" s="367">
        <f>ROUND(SUM(AG17),1)</f>
        <v>21.5</v>
      </c>
      <c r="AH19" s="40"/>
      <c r="AI19" s="1649">
        <f>ROUND(IF(AG19=0,0,AG19/ABS(AD19)),3)</f>
        <v>8.5999999999999993E-2</v>
      </c>
      <c r="AJ19" s="1712"/>
      <c r="AK19" s="1713"/>
    </row>
    <row r="20" spans="1:37" s="10" customFormat="1">
      <c r="A20" s="301"/>
      <c r="B20" s="629"/>
      <c r="C20" s="274"/>
      <c r="D20" s="629"/>
      <c r="E20" s="274"/>
      <c r="F20" s="629"/>
      <c r="G20" s="274"/>
      <c r="H20" s="629"/>
      <c r="I20" s="274"/>
      <c r="J20" s="629"/>
      <c r="K20" s="274"/>
      <c r="L20" s="629"/>
      <c r="M20" s="274"/>
      <c r="N20" s="629"/>
      <c r="O20" s="274"/>
      <c r="P20" s="629"/>
      <c r="Q20" s="274"/>
      <c r="R20" s="629"/>
      <c r="S20" s="274"/>
      <c r="T20" s="629"/>
      <c r="U20" s="274"/>
      <c r="V20" s="629"/>
      <c r="W20" s="274"/>
      <c r="X20" s="629"/>
      <c r="Y20" s="274"/>
      <c r="Z20" s="534"/>
      <c r="AA20" s="629"/>
      <c r="AB20" s="1264"/>
      <c r="AC20" s="274"/>
      <c r="AD20" s="629"/>
      <c r="AE20" s="274"/>
      <c r="AF20" s="1822"/>
      <c r="AG20" s="274"/>
      <c r="AH20" s="301"/>
      <c r="AI20" s="301"/>
      <c r="AJ20" s="1712"/>
      <c r="AK20" s="1713"/>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20"/>
      <c r="Z21" s="1821"/>
      <c r="AA21" s="274"/>
      <c r="AB21" s="1820"/>
      <c r="AC21" s="422"/>
      <c r="AD21" s="274"/>
      <c r="AE21" s="274"/>
      <c r="AF21" s="1822"/>
      <c r="AG21" s="274"/>
      <c r="AJ21" s="1567"/>
      <c r="AK21" s="1567"/>
    </row>
    <row r="22" spans="1:37">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20"/>
      <c r="Z22" s="1821"/>
      <c r="AA22" s="274"/>
      <c r="AB22" s="1820"/>
      <c r="AC22" s="422"/>
      <c r="AD22" s="274"/>
      <c r="AE22" s="274"/>
      <c r="AF22" s="1822"/>
      <c r="AG22" s="274"/>
      <c r="AJ22" s="1567"/>
      <c r="AK22" s="1567"/>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20"/>
      <c r="Z23" s="1821"/>
      <c r="AA23" s="285"/>
      <c r="AB23" s="1829"/>
      <c r="AC23" s="1830"/>
      <c r="AD23" s="285"/>
      <c r="AE23" s="285"/>
      <c r="AF23" s="413"/>
      <c r="AG23" s="274"/>
      <c r="AJ23" s="1567"/>
      <c r="AK23" s="1567"/>
    </row>
    <row r="24" spans="1:37">
      <c r="A24" s="301" t="s">
        <v>601</v>
      </c>
      <c r="B24" s="297">
        <v>6.3</v>
      </c>
      <c r="C24" s="274"/>
      <c r="D24" s="297">
        <v>9.6000000000000014</v>
      </c>
      <c r="E24" s="274"/>
      <c r="F24" s="297">
        <v>6.2999999999999972</v>
      </c>
      <c r="G24" s="274"/>
      <c r="H24" s="297">
        <v>9.0999999999999979</v>
      </c>
      <c r="I24" s="422"/>
      <c r="J24" s="274">
        <v>6.1000000000000014</v>
      </c>
      <c r="K24" s="274"/>
      <c r="L24" s="274">
        <v>6.100000000000005</v>
      </c>
      <c r="M24" s="422"/>
      <c r="N24" s="274">
        <v>6.7000000000000028</v>
      </c>
      <c r="O24" s="422"/>
      <c r="P24" s="298">
        <v>6.2999999999999972</v>
      </c>
      <c r="Q24" s="298"/>
      <c r="R24" s="298">
        <v>9.9000000000000057</v>
      </c>
      <c r="S24" s="298"/>
      <c r="T24" s="298">
        <v>6.2999999999999972</v>
      </c>
      <c r="U24" s="298"/>
      <c r="V24" s="298">
        <f>$AA24-SUM($B24:T24)</f>
        <v>6.7000000000000028</v>
      </c>
      <c r="W24" s="298"/>
      <c r="X24" s="298"/>
      <c r="Y24" s="1820"/>
      <c r="Z24" s="1821"/>
      <c r="AA24" s="542">
        <v>79.400000000000006</v>
      </c>
      <c r="AB24" s="274"/>
      <c r="AC24" s="535" t="s">
        <v>103</v>
      </c>
      <c r="AD24" s="542">
        <v>78.2</v>
      </c>
      <c r="AE24" s="299"/>
      <c r="AF24" s="413"/>
      <c r="AG24" s="274">
        <f>ROUND(SUM(AA24-AD24),1)</f>
        <v>1.2</v>
      </c>
      <c r="AI24" s="1664">
        <f>ROUND(IF(AG24=0,0,AG24/ABS(AD24)),3)</f>
        <v>1.4999999999999999E-2</v>
      </c>
      <c r="AJ24" s="1567"/>
      <c r="AK24" s="1567"/>
    </row>
    <row r="25" spans="1:37">
      <c r="A25" s="423" t="s">
        <v>518</v>
      </c>
      <c r="B25" s="297">
        <v>0.3</v>
      </c>
      <c r="C25" s="274"/>
      <c r="D25" s="297">
        <v>1.9999999999999998</v>
      </c>
      <c r="E25" s="274"/>
      <c r="F25" s="297">
        <v>2</v>
      </c>
      <c r="G25" s="274"/>
      <c r="H25" s="297">
        <v>1.7000000000000002</v>
      </c>
      <c r="I25" s="422"/>
      <c r="J25" s="274">
        <v>1.7000000000000002</v>
      </c>
      <c r="K25" s="274"/>
      <c r="L25" s="274">
        <v>1.6999999999999993</v>
      </c>
      <c r="M25" s="422"/>
      <c r="N25" s="274">
        <v>1.6000000000000014</v>
      </c>
      <c r="O25" s="422"/>
      <c r="P25" s="298">
        <v>44.8</v>
      </c>
      <c r="Q25" s="422"/>
      <c r="R25" s="298">
        <v>4.9000000000000057</v>
      </c>
      <c r="S25" s="422"/>
      <c r="T25" s="298">
        <v>2.7999999999999972</v>
      </c>
      <c r="U25" s="422"/>
      <c r="V25" s="298">
        <f>$AA25-SUM($B25:T25)</f>
        <v>2.0999999999999943</v>
      </c>
      <c r="W25" s="422"/>
      <c r="X25" s="298"/>
      <c r="Y25" s="1820"/>
      <c r="Z25" s="1821"/>
      <c r="AA25" s="542">
        <v>65.599999999999994</v>
      </c>
      <c r="AB25" s="274"/>
      <c r="AC25" s="535" t="s">
        <v>103</v>
      </c>
      <c r="AD25" s="542">
        <v>68.3</v>
      </c>
      <c r="AE25" s="285"/>
      <c r="AF25" s="413"/>
      <c r="AG25" s="274">
        <f>ROUND(SUM(AA25-AD25),1)</f>
        <v>-2.7</v>
      </c>
      <c r="AH25" s="1643"/>
      <c r="AI25" s="1664">
        <f>ROUND(IF(AG25=0,0,AG25/ABS(AD25)),3)</f>
        <v>-0.04</v>
      </c>
      <c r="AJ25" s="1567"/>
      <c r="AK25" s="1567"/>
    </row>
    <row r="26" spans="1:37" s="10" customFormat="1">
      <c r="A26" s="301" t="s">
        <v>464</v>
      </c>
      <c r="B26" s="274">
        <v>0</v>
      </c>
      <c r="C26" s="274"/>
      <c r="D26" s="274">
        <v>12.4</v>
      </c>
      <c r="E26" s="274"/>
      <c r="F26" s="274">
        <v>4.0999999999999996</v>
      </c>
      <c r="G26" s="274"/>
      <c r="H26" s="274">
        <v>4</v>
      </c>
      <c r="I26" s="274"/>
      <c r="J26" s="274">
        <v>4</v>
      </c>
      <c r="K26" s="274"/>
      <c r="L26" s="274">
        <v>3.8999999999999986</v>
      </c>
      <c r="M26" s="274"/>
      <c r="N26" s="274">
        <v>6.3999999999999986</v>
      </c>
      <c r="O26" s="274"/>
      <c r="P26" s="274">
        <v>4.2000000000000028</v>
      </c>
      <c r="Q26" s="274"/>
      <c r="R26" s="274">
        <v>4.2999999999999972</v>
      </c>
      <c r="S26" s="274"/>
      <c r="T26" s="274">
        <v>4.3000000000000043</v>
      </c>
      <c r="U26" s="274"/>
      <c r="V26" s="274">
        <f>$AA26-SUM($B26:T26)</f>
        <v>4.2999999999999972</v>
      </c>
      <c r="W26" s="274"/>
      <c r="X26" s="274"/>
      <c r="Y26" s="274"/>
      <c r="Z26" s="534"/>
      <c r="AA26" s="542">
        <v>51.9</v>
      </c>
      <c r="AB26" s="274"/>
      <c r="AC26" s="535" t="s">
        <v>103</v>
      </c>
      <c r="AD26" s="542">
        <v>52</v>
      </c>
      <c r="AE26" s="274"/>
      <c r="AF26" s="1822"/>
      <c r="AG26" s="393">
        <f>ROUND(SUM(AA26-AD26),1)</f>
        <v>-0.1</v>
      </c>
      <c r="AH26" s="301"/>
      <c r="AI26" s="1662">
        <f>ROUND(IF(AG26=0,0,AG26/ABS(AD26)),3)</f>
        <v>-2E-3</v>
      </c>
      <c r="AJ26" s="1567"/>
      <c r="AK26" s="1561"/>
    </row>
    <row r="27" spans="1:37" s="10" customFormat="1">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4"/>
      <c r="AC27" s="274"/>
      <c r="AD27" s="629"/>
      <c r="AE27" s="26"/>
      <c r="AF27" s="413"/>
      <c r="AG27" s="274"/>
      <c r="AH27" s="278"/>
      <c r="AI27" s="1646"/>
      <c r="AJ27" s="1567"/>
      <c r="AK27" s="1561"/>
    </row>
    <row r="28" spans="1:37" s="10" customFormat="1">
      <c r="A28" s="3" t="s">
        <v>465</v>
      </c>
      <c r="B28" s="13">
        <f>ROUND(SUM(B24)+SUM(B25)+SUM(B26),1)</f>
        <v>6.6</v>
      </c>
      <c r="C28" s="13"/>
      <c r="D28" s="13">
        <f>ROUND(SUM(D24)+SUM(D25)+SUM(D26),1)</f>
        <v>24</v>
      </c>
      <c r="E28" s="13"/>
      <c r="F28" s="13">
        <f>ROUND(SUM(F24)+SUM(F25)+SUM(F26),1)</f>
        <v>12.4</v>
      </c>
      <c r="G28" s="13"/>
      <c r="H28" s="13">
        <f>ROUND(SUM(H24)+SUM(H25)+SUM(H26),1)</f>
        <v>14.8</v>
      </c>
      <c r="I28" s="13"/>
      <c r="J28" s="13">
        <f>ROUND(SUM(J24)+SUM(J25)+SUM(J26),1)</f>
        <v>11.8</v>
      </c>
      <c r="K28" s="13"/>
      <c r="L28" s="13">
        <f>ROUND(SUM(L24)+SUM(L25)+SUM(L26),1)</f>
        <v>11.7</v>
      </c>
      <c r="M28" s="13"/>
      <c r="N28" s="13">
        <f>ROUND(SUM(N24)+SUM(N25)+SUM(N26),1)</f>
        <v>14.7</v>
      </c>
      <c r="O28" s="13"/>
      <c r="P28" s="13">
        <f>ROUND(SUM(P24)+SUM(P25)+SUM(P26),1)</f>
        <v>55.3</v>
      </c>
      <c r="Q28" s="13"/>
      <c r="R28" s="13">
        <f>ROUND(SUM(R24)+SUM(R25)+SUM(R26),1)</f>
        <v>19.100000000000001</v>
      </c>
      <c r="S28" s="13"/>
      <c r="T28" s="13">
        <f>ROUND(SUM(T24)+SUM(T25)+SUM(T26),1)</f>
        <v>13.4</v>
      </c>
      <c r="U28" s="13"/>
      <c r="V28" s="13">
        <f>ROUND(SUM(V24)+SUM(V25)+SUM(V26),1)</f>
        <v>13.1</v>
      </c>
      <c r="W28" s="13"/>
      <c r="X28" s="13">
        <f>ROUND(SUM(X24)+SUM(X25)+SUM(X26),1)</f>
        <v>0</v>
      </c>
      <c r="Y28" s="13"/>
      <c r="Z28" s="14"/>
      <c r="AA28" s="13">
        <f>ROUND(SUM(AA24)+SUM(AA25)+SUM(AA26),1)</f>
        <v>196.9</v>
      </c>
      <c r="AB28" s="1266"/>
      <c r="AC28" s="13"/>
      <c r="AD28" s="13">
        <f>ROUND(SUM(AD24)+SUM(AD25)+SUM(AD26),1)</f>
        <v>198.5</v>
      </c>
      <c r="AE28" s="274"/>
      <c r="AF28" s="1831"/>
      <c r="AG28" s="367">
        <f>ROUND(SUM(AG24:AG26),1)</f>
        <v>-1.6</v>
      </c>
      <c r="AH28" s="40"/>
      <c r="AI28" s="1649">
        <f>ROUND(IF(AG28=0,0,AG28/ABS(AD28)),3)</f>
        <v>-8.0000000000000002E-3</v>
      </c>
      <c r="AJ28" s="1567"/>
      <c r="AK28" s="1561"/>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4"/>
      <c r="AC29" s="274"/>
      <c r="AD29" s="629"/>
      <c r="AE29" s="274"/>
      <c r="AF29" s="1831"/>
      <c r="AG29" s="274"/>
      <c r="AH29" s="301"/>
      <c r="AI29" s="301"/>
      <c r="AJ29" s="1567"/>
      <c r="AK29" s="1561"/>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20"/>
      <c r="Z30" s="1821"/>
      <c r="AA30" s="274"/>
      <c r="AB30" s="1820"/>
      <c r="AC30" s="422"/>
      <c r="AD30" s="274"/>
      <c r="AE30" s="274"/>
      <c r="AF30" s="1822"/>
      <c r="AG30" s="274"/>
      <c r="AJ30" s="1714"/>
      <c r="AK30" s="1714"/>
    </row>
    <row r="31" spans="1:37">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20"/>
      <c r="Z31" s="1821"/>
      <c r="AA31" s="274"/>
      <c r="AB31" s="1820"/>
      <c r="AC31" s="422"/>
      <c r="AD31" s="274"/>
      <c r="AE31" s="274"/>
      <c r="AF31" s="1822"/>
      <c r="AG31" s="274"/>
      <c r="AJ31" s="1567"/>
      <c r="AK31" s="1567"/>
    </row>
    <row r="32" spans="1:37">
      <c r="A32" s="3" t="s">
        <v>144</v>
      </c>
      <c r="B32" s="1845">
        <f>ROUND(B19-B28,1)</f>
        <v>5.7</v>
      </c>
      <c r="C32" s="13"/>
      <c r="D32" s="1845">
        <f>ROUND(D19-D28,1)</f>
        <v>-0.8</v>
      </c>
      <c r="E32" s="13"/>
      <c r="F32" s="1845">
        <f>ROUND(F19-F28,1)</f>
        <v>14.5</v>
      </c>
      <c r="G32" s="13"/>
      <c r="H32" s="1845">
        <f>ROUND(H19-H28,1)</f>
        <v>7.3</v>
      </c>
      <c r="I32" s="13"/>
      <c r="J32" s="1845">
        <f>ROUND(J19-J28,1)</f>
        <v>7.6</v>
      </c>
      <c r="K32" s="13"/>
      <c r="L32" s="1845">
        <f>ROUND(L19-L28,1)</f>
        <v>9.5</v>
      </c>
      <c r="M32" s="1824"/>
      <c r="N32" s="1845">
        <f>ROUND(N19-N28,1)</f>
        <v>1.7</v>
      </c>
      <c r="O32" s="1824"/>
      <c r="P32" s="1845">
        <f>ROUND(P19-P28,1)</f>
        <v>8.9</v>
      </c>
      <c r="Q32" s="404"/>
      <c r="R32" s="1845">
        <f>ROUND(R19-R28,1)</f>
        <v>6.9</v>
      </c>
      <c r="S32" s="1824"/>
      <c r="T32" s="1845">
        <f>ROUND(T19-T28,1)</f>
        <v>6</v>
      </c>
      <c r="U32" s="1824"/>
      <c r="V32" s="1845">
        <f>ROUND(V19-V28,1)</f>
        <v>6.5</v>
      </c>
      <c r="W32" s="1824"/>
      <c r="X32" s="1845">
        <f>ROUND(X19-X28,1)</f>
        <v>0</v>
      </c>
      <c r="Y32" s="1825"/>
      <c r="Z32" s="1826"/>
      <c r="AA32" s="1832">
        <f>ROUND(AA19-AA28,1)</f>
        <v>73.8</v>
      </c>
      <c r="AB32" s="1825"/>
      <c r="AC32" s="1824"/>
      <c r="AD32" s="1832">
        <f>ROUND(AD19-AD28,1)</f>
        <v>50.7</v>
      </c>
      <c r="AE32" s="26"/>
      <c r="AF32" s="413"/>
      <c r="AG32" s="1834">
        <f>ROUND(SUM(AA32-AD32),1)</f>
        <v>23.1</v>
      </c>
      <c r="AI32" s="1840">
        <f>ROUND(IF(AD32=0,1,AG32/ABS(AD32)),3)</f>
        <v>0.45600000000000002</v>
      </c>
      <c r="AJ32" s="1567"/>
      <c r="AK32" s="1567"/>
    </row>
    <row r="33" spans="1:37">
      <c r="A33" s="3"/>
      <c r="B33" s="404"/>
      <c r="C33" s="13"/>
      <c r="D33" s="404"/>
      <c r="E33" s="13"/>
      <c r="F33" s="404"/>
      <c r="G33" s="13"/>
      <c r="H33" s="404"/>
      <c r="I33" s="13"/>
      <c r="J33" s="404"/>
      <c r="K33" s="13"/>
      <c r="L33" s="404"/>
      <c r="M33" s="1824"/>
      <c r="N33" s="404"/>
      <c r="O33" s="1824"/>
      <c r="P33" s="404"/>
      <c r="Q33" s="404"/>
      <c r="R33" s="404"/>
      <c r="S33" s="1824"/>
      <c r="T33" s="404"/>
      <c r="U33" s="1824"/>
      <c r="V33" s="404"/>
      <c r="W33" s="1824"/>
      <c r="X33" s="404"/>
      <c r="Y33" s="1825"/>
      <c r="Z33" s="1826"/>
      <c r="AA33" s="26"/>
      <c r="AB33" s="1825"/>
      <c r="AC33" s="1824"/>
      <c r="AD33" s="26"/>
      <c r="AE33" s="26"/>
      <c r="AF33" s="413"/>
      <c r="AG33" s="13"/>
      <c r="AI33" s="554"/>
      <c r="AJ33" s="1567"/>
      <c r="AK33" s="1567"/>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20"/>
      <c r="Z34" s="1821"/>
      <c r="AA34" s="274"/>
      <c r="AB34" s="1820"/>
      <c r="AC34" s="422"/>
      <c r="AD34" s="274"/>
      <c r="AE34" s="274"/>
      <c r="AF34" s="1831"/>
      <c r="AG34" s="274"/>
      <c r="AJ34" s="1567"/>
      <c r="AK34" s="1567"/>
    </row>
    <row r="35" spans="1:37">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20"/>
      <c r="Z35" s="1821"/>
      <c r="AA35" s="274"/>
      <c r="AB35" s="1820"/>
      <c r="AC35" s="422"/>
      <c r="AD35" s="274"/>
      <c r="AE35" s="274"/>
      <c r="AF35" s="1831"/>
      <c r="AG35" s="274"/>
      <c r="AJ35" s="1567"/>
      <c r="AK35" s="1567"/>
    </row>
    <row r="36" spans="1:37">
      <c r="A36" s="301" t="s">
        <v>545</v>
      </c>
      <c r="B36" s="297">
        <v>0</v>
      </c>
      <c r="C36" s="274"/>
      <c r="D36" s="297">
        <v>0</v>
      </c>
      <c r="E36" s="274"/>
      <c r="F36" s="297">
        <v>0</v>
      </c>
      <c r="G36" s="274"/>
      <c r="H36" s="297">
        <v>0</v>
      </c>
      <c r="I36" s="422"/>
      <c r="J36" s="274">
        <v>0</v>
      </c>
      <c r="K36" s="274"/>
      <c r="L36" s="274">
        <v>0</v>
      </c>
      <c r="M36" s="422"/>
      <c r="N36" s="274">
        <v>0</v>
      </c>
      <c r="O36" s="422"/>
      <c r="P36" s="298">
        <v>0</v>
      </c>
      <c r="Q36" s="422"/>
      <c r="R36" s="298">
        <v>0</v>
      </c>
      <c r="S36" s="422"/>
      <c r="T36" s="298">
        <v>0</v>
      </c>
      <c r="U36" s="422"/>
      <c r="V36" s="298">
        <f>$AA36-SUM($B36:T36)</f>
        <v>0</v>
      </c>
      <c r="W36" s="422"/>
      <c r="X36" s="298"/>
      <c r="Y36" s="1820"/>
      <c r="Z36" s="1821"/>
      <c r="AA36" s="542">
        <v>0</v>
      </c>
      <c r="AB36" s="274"/>
      <c r="AC36" s="535" t="s">
        <v>103</v>
      </c>
      <c r="AD36" s="542">
        <v>0</v>
      </c>
      <c r="AE36" s="285"/>
      <c r="AF36" s="1836"/>
      <c r="AG36" s="274">
        <f>ROUND(SUM(AA36-AD36),1)</f>
        <v>0</v>
      </c>
      <c r="AH36" s="1643"/>
      <c r="AI36" s="1664">
        <f>ROUND(IF(AG36=0,0,AG36/ABS(AD36)),3)</f>
        <v>0</v>
      </c>
      <c r="AJ36" s="1567"/>
      <c r="AK36" s="1567"/>
    </row>
    <row r="37" spans="1:37" s="10" customFormat="1">
      <c r="A37" s="301" t="s">
        <v>546</v>
      </c>
      <c r="B37" s="274">
        <v>0</v>
      </c>
      <c r="C37" s="274"/>
      <c r="D37" s="274">
        <v>0</v>
      </c>
      <c r="E37" s="274"/>
      <c r="F37" s="274">
        <v>0</v>
      </c>
      <c r="G37" s="274"/>
      <c r="H37" s="274">
        <v>0</v>
      </c>
      <c r="I37" s="274"/>
      <c r="J37" s="274">
        <v>0</v>
      </c>
      <c r="K37" s="274"/>
      <c r="L37" s="274">
        <v>0</v>
      </c>
      <c r="M37" s="274"/>
      <c r="N37" s="274">
        <v>0</v>
      </c>
      <c r="O37" s="274"/>
      <c r="P37" s="274">
        <v>0</v>
      </c>
      <c r="Q37" s="274"/>
      <c r="R37" s="274">
        <v>0</v>
      </c>
      <c r="S37" s="274"/>
      <c r="T37" s="274">
        <v>0</v>
      </c>
      <c r="U37" s="274"/>
      <c r="V37" s="274">
        <f>$AA37-SUM($B37:T37)</f>
        <v>0</v>
      </c>
      <c r="W37" s="274"/>
      <c r="X37" s="274"/>
      <c r="Y37" s="274"/>
      <c r="Z37" s="534"/>
      <c r="AA37" s="542">
        <v>0</v>
      </c>
      <c r="AB37" s="274"/>
      <c r="AC37" s="535" t="s">
        <v>103</v>
      </c>
      <c r="AD37" s="542">
        <v>0</v>
      </c>
      <c r="AE37" s="278"/>
      <c r="AF37" s="417"/>
      <c r="AG37" s="1837">
        <f>ROUND(SUM(AA37-AD37),1)</f>
        <v>0</v>
      </c>
      <c r="AH37" s="1643"/>
      <c r="AI37" s="1052">
        <f>ROUND(IF(AG37=0,0,AG37/ABS(AD37)),3)</f>
        <v>0</v>
      </c>
      <c r="AJ37" s="1567"/>
      <c r="AK37" s="1561"/>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8"/>
      <c r="AB38" s="1264"/>
      <c r="AC38" s="274"/>
      <c r="AD38" s="1838"/>
      <c r="AE38" s="278"/>
      <c r="AF38" s="417"/>
      <c r="AG38" s="301"/>
      <c r="AH38" s="301"/>
      <c r="AI38" s="301"/>
      <c r="AJ38" s="1567"/>
      <c r="AK38" s="1561"/>
    </row>
    <row r="39" spans="1:37" s="10" customFormat="1">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6"/>
      <c r="AC39" s="13"/>
      <c r="AD39" s="13">
        <f>ROUND(SUM(AD36:AD37),1)</f>
        <v>0</v>
      </c>
      <c r="AE39" s="112"/>
      <c r="AF39" s="413"/>
      <c r="AG39" s="367">
        <f>ROUND(SUM(AG36-AG37),1)</f>
        <v>0</v>
      </c>
      <c r="AH39" s="55"/>
      <c r="AI39" s="1649">
        <f>ROUND(IF(AG39=0,0,AG39/ABS(AD39)),3)</f>
        <v>0</v>
      </c>
      <c r="AJ39" s="1567"/>
      <c r="AK39" s="1561"/>
    </row>
    <row r="40" spans="1:37" s="10" customFormat="1">
      <c r="A40" s="301"/>
      <c r="B40" s="629"/>
      <c r="C40" s="274"/>
      <c r="D40" s="629"/>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4"/>
      <c r="AC40" s="274"/>
      <c r="AD40" s="629"/>
      <c r="AE40" s="278"/>
      <c r="AF40" s="417"/>
      <c r="AG40" s="301"/>
      <c r="AH40" s="301"/>
      <c r="AI40" s="301"/>
      <c r="AJ40" s="1567"/>
      <c r="AK40" s="1561"/>
    </row>
    <row r="41" spans="1:37" s="10" customFormat="1">
      <c r="A41" s="301"/>
      <c r="B41" s="274"/>
      <c r="C41" s="274"/>
      <c r="D41" s="274" t="s">
        <v>103</v>
      </c>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G41" s="301"/>
      <c r="AH41" s="301"/>
      <c r="AI41" s="301"/>
      <c r="AJ41" s="1567"/>
      <c r="AK41" s="1561"/>
    </row>
    <row r="42" spans="1:37">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20"/>
      <c r="Z42" s="1821"/>
      <c r="AA42" s="274"/>
      <c r="AB42" s="1820"/>
      <c r="AC42" s="422"/>
      <c r="AD42" s="274"/>
      <c r="AE42" s="274"/>
      <c r="AF42" s="1822"/>
      <c r="AG42" s="274"/>
      <c r="AJ42" s="1567"/>
      <c r="AK42" s="1567"/>
    </row>
    <row r="43" spans="1:37">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20"/>
      <c r="Z43" s="1821"/>
      <c r="AA43" s="274"/>
      <c r="AB43" s="1820"/>
      <c r="AC43" s="422"/>
      <c r="AD43" s="18"/>
      <c r="AE43" s="18"/>
      <c r="AF43" s="417"/>
      <c r="AG43" s="274"/>
      <c r="AJ43" s="1567"/>
      <c r="AK43" s="1567"/>
    </row>
    <row r="44" spans="1:37" s="3" customFormat="1">
      <c r="A44" s="3" t="s">
        <v>609</v>
      </c>
      <c r="B44" s="1832">
        <f>ROUND(+B32+B39,1)</f>
        <v>5.7</v>
      </c>
      <c r="C44" s="13"/>
      <c r="D44" s="1832">
        <f>ROUND(+D32+D39,1)</f>
        <v>-0.8</v>
      </c>
      <c r="E44" s="18"/>
      <c r="F44" s="1832">
        <f>ROUND(+F32+F39,1)</f>
        <v>14.5</v>
      </c>
      <c r="G44" s="18"/>
      <c r="H44" s="1832">
        <f>ROUND(+H32+H39,1)</f>
        <v>7.3</v>
      </c>
      <c r="I44" s="1839"/>
      <c r="J44" s="1832">
        <f>ROUND(+J32+J39,1)</f>
        <v>7.6</v>
      </c>
      <c r="K44" s="18"/>
      <c r="L44" s="1832">
        <f>ROUND(+L32+L39,1)</f>
        <v>9.5</v>
      </c>
      <c r="M44" s="26"/>
      <c r="N44" s="1832">
        <f>ROUND(+N32+N39,1)</f>
        <v>1.7</v>
      </c>
      <c r="O44" s="26"/>
      <c r="P44" s="1832">
        <f>ROUND(+P32+P39,1)</f>
        <v>8.9</v>
      </c>
      <c r="Q44" s="26"/>
      <c r="R44" s="1832">
        <f>ROUND(+R32+R39,1)</f>
        <v>6.9</v>
      </c>
      <c r="S44" s="1839"/>
      <c r="T44" s="1832">
        <f>ROUND(+T32+T39,1)</f>
        <v>6</v>
      </c>
      <c r="U44" s="1839"/>
      <c r="V44" s="1832">
        <f>ROUND(+V32+V39,1)</f>
        <v>6.5</v>
      </c>
      <c r="W44" s="1839"/>
      <c r="X44" s="1832">
        <f>ROUND(+X32+X39,1)</f>
        <v>0</v>
      </c>
      <c r="Y44" s="1825"/>
      <c r="Z44" s="1826"/>
      <c r="AA44" s="1832">
        <f>ROUND(AA32+AA39,1)</f>
        <v>73.8</v>
      </c>
      <c r="AB44" s="13"/>
      <c r="AC44" s="683"/>
      <c r="AD44" s="1832">
        <f>ROUND(AD32+AD39,1)</f>
        <v>50.7</v>
      </c>
      <c r="AE44" s="26"/>
      <c r="AF44" s="97"/>
      <c r="AG44" s="1834">
        <f>ROUND(SUM(AA44-AD44),1)</f>
        <v>23.1</v>
      </c>
      <c r="AH44" s="301"/>
      <c r="AI44" s="1840">
        <f>ROUND(IF(AD44=0,1,AG44/ABS(AD44)),3)</f>
        <v>0.45600000000000002</v>
      </c>
      <c r="AJ44" s="1567"/>
      <c r="AK44" s="1567"/>
    </row>
    <row r="45" spans="1:37" s="3" customFormat="1">
      <c r="B45" s="26"/>
      <c r="C45" s="13"/>
      <c r="D45" s="26"/>
      <c r="E45" s="18"/>
      <c r="F45" s="26"/>
      <c r="G45" s="18"/>
      <c r="H45" s="26"/>
      <c r="I45" s="1839"/>
      <c r="J45" s="26"/>
      <c r="K45" s="18"/>
      <c r="L45" s="26"/>
      <c r="M45" s="26"/>
      <c r="N45" s="26"/>
      <c r="O45" s="26"/>
      <c r="P45" s="26"/>
      <c r="Q45" s="26"/>
      <c r="R45" s="26"/>
      <c r="S45" s="1839"/>
      <c r="T45" s="26"/>
      <c r="U45" s="1839"/>
      <c r="V45" s="26"/>
      <c r="W45" s="1839"/>
      <c r="X45" s="26"/>
      <c r="Y45" s="1825"/>
      <c r="Z45" s="1826"/>
      <c r="AA45" s="26"/>
      <c r="AB45" s="13"/>
      <c r="AC45" s="683"/>
      <c r="AD45" s="26"/>
      <c r="AE45" s="26"/>
      <c r="AF45" s="97"/>
      <c r="AG45" s="13"/>
      <c r="AH45" s="301"/>
      <c r="AI45" s="554"/>
      <c r="AJ45" s="1567"/>
      <c r="AK45" s="1567"/>
    </row>
    <row r="46" spans="1:37">
      <c r="A46" s="3" t="s">
        <v>441</v>
      </c>
      <c r="B46" s="1841">
        <f>ROUND(B14+B44,1)</f>
        <v>1568.2</v>
      </c>
      <c r="C46" s="20"/>
      <c r="D46" s="1841">
        <f>ROUND(D14+D44,1)</f>
        <v>1567.4</v>
      </c>
      <c r="E46" s="20"/>
      <c r="F46" s="1841">
        <f>ROUND(F14+F44,1)</f>
        <v>1581.9</v>
      </c>
      <c r="G46" s="20"/>
      <c r="H46" s="20">
        <f>ROUND(H14+H44,1)</f>
        <v>1589.2</v>
      </c>
      <c r="I46" s="1811"/>
      <c r="J46" s="20">
        <f>ROUND(J14+J44,1)</f>
        <v>1596.8</v>
      </c>
      <c r="K46" s="20"/>
      <c r="L46" s="20">
        <f>ROUND(L14+L44,1)</f>
        <v>1606.3</v>
      </c>
      <c r="M46" s="20"/>
      <c r="N46" s="20">
        <f>ROUND(N14+N44,1)</f>
        <v>1608</v>
      </c>
      <c r="O46" s="20"/>
      <c r="P46" s="20">
        <f>ROUND(P14+P44,1)</f>
        <v>1616.9</v>
      </c>
      <c r="Q46" s="20"/>
      <c r="R46" s="20">
        <f>ROUND(R14+R44,1)</f>
        <v>1623.8</v>
      </c>
      <c r="S46" s="1811"/>
      <c r="T46" s="20">
        <f>ROUND(T14+T44,1)</f>
        <v>1629.8</v>
      </c>
      <c r="U46" s="1811"/>
      <c r="V46" s="20">
        <f>ROUND(V14+V44,1)</f>
        <v>1636.3</v>
      </c>
      <c r="W46" s="1811"/>
      <c r="X46" s="20">
        <f>ROUND(X14+X44,1)</f>
        <v>0</v>
      </c>
      <c r="Y46" s="1812"/>
      <c r="Z46" s="1813"/>
      <c r="AA46" s="20">
        <f>ROUND(SUM(AA14,AA44),1)</f>
        <v>1636.3</v>
      </c>
      <c r="AB46" s="20"/>
      <c r="AC46" s="1138"/>
      <c r="AD46" s="1615">
        <f>ROUND(SUM(AD14,AD44),1)</f>
        <v>1306.4000000000001</v>
      </c>
      <c r="AE46" s="20"/>
      <c r="AF46" s="414"/>
      <c r="AG46" s="1615">
        <f>ROUND(SUM(AA46-AD46),1)</f>
        <v>329.9</v>
      </c>
      <c r="AH46" s="390"/>
      <c r="AI46" s="1842">
        <f>ROUND(IF(AD46=0,1,AG46/ABS(AD46)),3)</f>
        <v>0.253</v>
      </c>
      <c r="AJ46" s="1567"/>
      <c r="AK46" s="1567"/>
    </row>
    <row r="47" spans="1:37">
      <c r="A47" s="301" t="s">
        <v>103</v>
      </c>
      <c r="B47" s="1843"/>
      <c r="C47" s="278"/>
      <c r="D47" s="1843"/>
      <c r="E47" s="278"/>
      <c r="F47" s="1843"/>
      <c r="G47" s="278"/>
      <c r="H47" s="1843"/>
      <c r="I47" s="278"/>
      <c r="J47" s="1843"/>
      <c r="K47" s="278"/>
      <c r="L47" s="1843"/>
      <c r="M47" s="278"/>
      <c r="N47" s="1843"/>
      <c r="O47" s="278"/>
      <c r="P47" s="1843"/>
      <c r="Q47" s="278"/>
      <c r="R47" s="1843"/>
      <c r="S47" s="278"/>
      <c r="T47" s="1843"/>
      <c r="U47" s="278"/>
      <c r="V47" s="1843"/>
      <c r="W47" s="278"/>
      <c r="X47" s="1843"/>
      <c r="Y47" s="278"/>
      <c r="Z47" s="278"/>
      <c r="AA47" s="1843"/>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3" firstPageNumber="37"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69140625" defaultRowHeight="15.5"/>
  <cols>
    <col min="1" max="1" width="41.07421875" style="301" customWidth="1"/>
    <col min="2" max="2" width="11.69140625" style="301" customWidth="1"/>
    <col min="3" max="3" width="1.07421875" style="301" customWidth="1"/>
    <col min="4" max="4" width="11.69140625" style="301" customWidth="1"/>
    <col min="5" max="5" width="1.07421875" style="301" customWidth="1"/>
    <col min="6" max="6" width="11.69140625" style="301" customWidth="1"/>
    <col min="7" max="7" width="1.07421875" style="301" customWidth="1"/>
    <col min="8" max="8" width="11.69140625" style="301" customWidth="1"/>
    <col min="9" max="9" width="1.07421875" style="301" customWidth="1"/>
    <col min="10" max="10" width="11.69140625" style="301" customWidth="1"/>
    <col min="11" max="11" width="1.07421875" style="301" customWidth="1"/>
    <col min="12" max="12" width="12.69140625" style="301" customWidth="1"/>
    <col min="13" max="13" width="1.07421875" style="301" customWidth="1"/>
    <col min="14" max="14" width="11.69140625" style="301" customWidth="1"/>
    <col min="15" max="15" width="1.07421875" style="301" customWidth="1"/>
    <col min="16" max="16" width="11.69140625" style="301" customWidth="1"/>
    <col min="17" max="17" width="1.07421875" style="301" customWidth="1"/>
    <col min="18" max="18" width="11.69140625" style="301" customWidth="1"/>
    <col min="19" max="19" width="1.07421875" style="301" customWidth="1"/>
    <col min="20" max="20" width="11.69140625" style="301" customWidth="1"/>
    <col min="21" max="21" width="1.07421875" style="301" customWidth="1"/>
    <col min="22" max="22" width="11.69140625" style="301" customWidth="1"/>
    <col min="23" max="23" width="1.07421875" style="301" customWidth="1"/>
    <col min="24" max="24" width="11.69140625" style="301" customWidth="1"/>
    <col min="25" max="26" width="1.07421875" style="301" customWidth="1"/>
    <col min="27" max="27" width="10.69140625" style="301" customWidth="1"/>
    <col min="28" max="29" width="1.07421875" style="301" customWidth="1"/>
    <col min="30" max="30" width="10.69140625" style="301" customWidth="1"/>
    <col min="31" max="32" width="1.07421875" style="301" customWidth="1"/>
    <col min="33" max="33" width="10.69140625" style="301" customWidth="1"/>
    <col min="34" max="34" width="1.69140625" style="301" customWidth="1"/>
    <col min="35" max="35" width="10.69140625" style="301" customWidth="1"/>
    <col min="36" max="37" width="8.69140625" style="301"/>
    <col min="38" max="38" width="4.69140625" style="301" customWidth="1"/>
    <col min="39" max="39" width="4.53515625" style="301" bestFit="1" customWidth="1"/>
    <col min="40" max="16384" width="8.69140625" style="301"/>
  </cols>
  <sheetData>
    <row r="1" spans="1:37">
      <c r="A1" s="275" t="s">
        <v>97</v>
      </c>
    </row>
    <row r="2" spans="1:37">
      <c r="A2" s="364"/>
    </row>
    <row r="3" spans="1:37">
      <c r="A3" s="3" t="s">
        <v>98</v>
      </c>
      <c r="K3" s="3"/>
      <c r="L3" s="3"/>
      <c r="AI3" s="1247" t="s">
        <v>610</v>
      </c>
    </row>
    <row r="4" spans="1:37">
      <c r="A4" s="6" t="s">
        <v>611</v>
      </c>
      <c r="H4" s="3" t="s">
        <v>103</v>
      </c>
      <c r="K4" s="3"/>
      <c r="L4" s="3"/>
      <c r="X4" s="301" t="s">
        <v>103</v>
      </c>
    </row>
    <row r="5" spans="1:37">
      <c r="A5" s="6" t="s">
        <v>335</v>
      </c>
      <c r="K5" s="3"/>
      <c r="L5" s="3"/>
      <c r="AB5" s="1247"/>
      <c r="AC5" s="1247"/>
      <c r="AE5" s="1247"/>
    </row>
    <row r="6" spans="1:37">
      <c r="A6" s="6" t="str">
        <f>'Cashflow Governmental'!A6</f>
        <v>FISCAL YEAR 2024-2025</v>
      </c>
      <c r="K6" s="3"/>
      <c r="L6" s="3"/>
    </row>
    <row r="7" spans="1:37">
      <c r="A7" s="3" t="s">
        <v>102</v>
      </c>
      <c r="K7" s="3"/>
    </row>
    <row r="8" spans="1:37">
      <c r="A8" s="3"/>
      <c r="K8" s="3"/>
    </row>
    <row r="9" spans="1:37">
      <c r="A9" s="1248"/>
    </row>
    <row r="10" spans="1:37">
      <c r="B10" s="1567"/>
      <c r="H10" s="3"/>
      <c r="I10" s="3"/>
      <c r="J10" s="3"/>
      <c r="Z10" s="2124" t="str">
        <f>'Cashflow Governmental'!$AB$12</f>
        <v>11 Months Ended February 28</v>
      </c>
      <c r="AA10" s="2124"/>
      <c r="AB10" s="2124"/>
      <c r="AC10" s="2124"/>
      <c r="AD10" s="2124"/>
      <c r="AE10" s="2124"/>
      <c r="AF10" s="2124"/>
      <c r="AG10" s="2124"/>
      <c r="AH10" s="2124"/>
      <c r="AI10" s="2124"/>
    </row>
    <row r="11" spans="1:37">
      <c r="B11" s="324" t="str">
        <f>'Cashflow Governmental'!C13</f>
        <v>2024</v>
      </c>
      <c r="C11" s="3"/>
      <c r="D11" s="3"/>
      <c r="E11" s="3"/>
      <c r="F11" s="3"/>
      <c r="G11" s="3"/>
      <c r="H11" s="3"/>
      <c r="I11" s="3"/>
      <c r="J11" s="3"/>
      <c r="K11" s="3"/>
      <c r="L11" s="3"/>
      <c r="M11" s="3"/>
      <c r="N11" s="3"/>
      <c r="O11" s="3"/>
      <c r="P11" s="3"/>
      <c r="Q11" s="3"/>
      <c r="R11" s="3"/>
      <c r="S11" s="3"/>
      <c r="T11" s="324">
        <f>'Cashflow Governmental'!U13</f>
        <v>2025</v>
      </c>
      <c r="U11" s="3"/>
      <c r="V11" s="55"/>
      <c r="W11" s="3"/>
      <c r="X11" s="3"/>
      <c r="Y11" s="3"/>
      <c r="Z11" s="3"/>
      <c r="AA11" s="3"/>
      <c r="AB11" s="3"/>
      <c r="AC11" s="3"/>
      <c r="AD11" s="6"/>
      <c r="AE11" s="6"/>
      <c r="AF11" s="3"/>
      <c r="AG11" s="330" t="s">
        <v>110</v>
      </c>
      <c r="AH11" s="330"/>
      <c r="AI11" s="328" t="s">
        <v>111</v>
      </c>
    </row>
    <row r="12" spans="1:37">
      <c r="B12" s="1249" t="s">
        <v>336</v>
      </c>
      <c r="C12" s="3"/>
      <c r="D12" s="1665" t="s">
        <v>337</v>
      </c>
      <c r="E12" s="3"/>
      <c r="F12" s="1665" t="s">
        <v>338</v>
      </c>
      <c r="G12" s="3"/>
      <c r="H12" s="1665" t="s">
        <v>339</v>
      </c>
      <c r="I12" s="3"/>
      <c r="J12" s="1666" t="s">
        <v>608</v>
      </c>
      <c r="K12" s="3"/>
      <c r="L12" s="1666" t="s">
        <v>453</v>
      </c>
      <c r="M12" s="3"/>
      <c r="N12" s="1666" t="s">
        <v>454</v>
      </c>
      <c r="O12" s="3"/>
      <c r="P12" s="1665" t="s">
        <v>343</v>
      </c>
      <c r="Q12" s="3"/>
      <c r="R12" s="1665" t="s">
        <v>344</v>
      </c>
      <c r="S12" s="3"/>
      <c r="T12" s="1666" t="s">
        <v>345</v>
      </c>
      <c r="U12" s="3"/>
      <c r="V12" s="1665" t="s">
        <v>346</v>
      </c>
      <c r="W12" s="3"/>
      <c r="X12" s="1666" t="s">
        <v>455</v>
      </c>
      <c r="Y12" s="3"/>
      <c r="Z12" s="3"/>
      <c r="AA12" s="1249" t="str">
        <f>'Cashflow Governmental'!AB14</f>
        <v>2025</v>
      </c>
      <c r="AB12" s="55"/>
      <c r="AC12" s="55"/>
      <c r="AD12" s="1665" t="str">
        <f>'Cashflow Governmental'!AE14</f>
        <v>2024</v>
      </c>
      <c r="AE12" s="55"/>
      <c r="AF12" s="55"/>
      <c r="AG12" s="1667" t="s">
        <v>112</v>
      </c>
      <c r="AH12" s="330"/>
      <c r="AI12" s="1667" t="s">
        <v>113</v>
      </c>
    </row>
    <row r="13" spans="1:37" ht="6" customHeight="1">
      <c r="B13" s="55"/>
      <c r="C13" s="3"/>
      <c r="D13" s="55"/>
      <c r="E13" s="3"/>
      <c r="F13" s="55"/>
      <c r="G13" s="3"/>
      <c r="H13" s="55"/>
      <c r="I13" s="3"/>
      <c r="J13" s="324"/>
      <c r="K13" s="3"/>
      <c r="L13" s="324"/>
      <c r="M13" s="3"/>
      <c r="N13" s="324"/>
      <c r="O13" s="3"/>
      <c r="P13" s="55"/>
      <c r="Q13" s="3"/>
      <c r="R13" s="55"/>
      <c r="S13" s="3"/>
      <c r="T13" s="324"/>
      <c r="U13" s="3"/>
      <c r="V13" s="55"/>
      <c r="W13" s="3"/>
      <c r="X13" s="324"/>
      <c r="Y13" s="3"/>
      <c r="Z13" s="3"/>
      <c r="AA13" s="55"/>
      <c r="AB13" s="55"/>
      <c r="AC13" s="55"/>
      <c r="AD13" s="55"/>
      <c r="AE13" s="55"/>
      <c r="AF13" s="55"/>
      <c r="AG13" s="330"/>
      <c r="AH13" s="330"/>
      <c r="AI13" s="330"/>
    </row>
    <row r="14" spans="1:37">
      <c r="A14" s="3" t="s">
        <v>348</v>
      </c>
      <c r="B14" s="87">
        <v>60</v>
      </c>
      <c r="C14" s="20"/>
      <c r="D14" s="1636">
        <f>B46</f>
        <v>60.8</v>
      </c>
      <c r="E14" s="1636"/>
      <c r="F14" s="1636">
        <f>D46</f>
        <v>61.6</v>
      </c>
      <c r="G14" s="20"/>
      <c r="H14" s="1636">
        <f>F46</f>
        <v>62.4</v>
      </c>
      <c r="I14" s="1811"/>
      <c r="J14" s="1636">
        <f>H46</f>
        <v>63.2</v>
      </c>
      <c r="K14" s="20"/>
      <c r="L14" s="1636">
        <f>J46</f>
        <v>64.7</v>
      </c>
      <c r="M14" s="1811"/>
      <c r="N14" s="1636">
        <f>L46</f>
        <v>64.900000000000006</v>
      </c>
      <c r="O14" s="1811"/>
      <c r="P14" s="1636">
        <f>N46</f>
        <v>66.3</v>
      </c>
      <c r="Q14" s="1636"/>
      <c r="R14" s="1636">
        <f>P46</f>
        <v>67.099999999999994</v>
      </c>
      <c r="S14" s="1636"/>
      <c r="T14" s="1636">
        <f>R46</f>
        <v>68</v>
      </c>
      <c r="U14" s="1636"/>
      <c r="V14" s="1636">
        <f>T46</f>
        <v>68.599999999999994</v>
      </c>
      <c r="W14" s="1636"/>
      <c r="X14" s="1636"/>
      <c r="Y14" s="1812"/>
      <c r="Z14" s="1813"/>
      <c r="AA14" s="1636">
        <f>+B14</f>
        <v>60</v>
      </c>
      <c r="AB14" s="1812"/>
      <c r="AC14" s="1811"/>
      <c r="AD14" s="2073">
        <v>53.1</v>
      </c>
      <c r="AE14" s="1636"/>
      <c r="AF14" s="1814"/>
      <c r="AG14" s="20">
        <f>ROUND(SUM(AA14-AD14),1)</f>
        <v>6.9</v>
      </c>
      <c r="AI14" s="1668">
        <f>ROUND(IF(AG14=0,0,AG14/(AD14)),3)</f>
        <v>0.13</v>
      </c>
      <c r="AJ14" s="1712"/>
      <c r="AK14" s="1712"/>
    </row>
    <row r="15" spans="1:37">
      <c r="I15" s="1638"/>
      <c r="J15" s="1638"/>
      <c r="L15" s="1638"/>
      <c r="M15" s="1638"/>
      <c r="N15" s="1638"/>
      <c r="O15" s="1638"/>
      <c r="P15" s="1638"/>
      <c r="Q15" s="1638"/>
      <c r="R15" s="1638"/>
      <c r="S15" s="1638"/>
      <c r="T15" s="1638"/>
      <c r="U15" s="1638"/>
      <c r="V15" s="1638"/>
      <c r="W15" s="1638"/>
      <c r="X15" s="1638"/>
      <c r="Y15" s="1815"/>
      <c r="Z15" s="1816"/>
      <c r="AB15" s="1815"/>
      <c r="AC15" s="1638"/>
      <c r="AF15" s="1817"/>
      <c r="AJ15" s="1712"/>
      <c r="AK15" s="1712"/>
    </row>
    <row r="16" spans="1:37">
      <c r="A16" s="3" t="s">
        <v>114</v>
      </c>
      <c r="I16" s="1638"/>
      <c r="J16" s="1638"/>
      <c r="L16" s="1638"/>
      <c r="M16" s="1638"/>
      <c r="N16" s="1638"/>
      <c r="O16" s="1638"/>
      <c r="P16" s="1638"/>
      <c r="Q16" s="1638"/>
      <c r="R16" s="1638"/>
      <c r="S16" s="1638"/>
      <c r="T16" s="1638"/>
      <c r="U16" s="1638"/>
      <c r="V16" s="1638"/>
      <c r="W16" s="1638"/>
      <c r="X16" s="1638"/>
      <c r="Y16" s="1815"/>
      <c r="Z16" s="1816"/>
      <c r="AB16" s="1815"/>
      <c r="AC16" s="1638"/>
      <c r="AF16" s="1817"/>
      <c r="AJ16" s="1712"/>
      <c r="AK16" s="1712"/>
    </row>
    <row r="17" spans="1:37">
      <c r="A17" s="423" t="s">
        <v>599</v>
      </c>
      <c r="B17" s="1818">
        <v>0.9</v>
      </c>
      <c r="C17" s="274"/>
      <c r="D17" s="1818">
        <v>0.8999999999999998</v>
      </c>
      <c r="E17" s="274"/>
      <c r="F17" s="1818">
        <v>0.90000000000000047</v>
      </c>
      <c r="G17" s="298"/>
      <c r="H17" s="1818">
        <v>0.79999999999999971</v>
      </c>
      <c r="I17" s="422"/>
      <c r="J17" s="1818">
        <v>1.4999999999999996</v>
      </c>
      <c r="K17" s="274"/>
      <c r="L17" s="1818">
        <v>0.29999999999999982</v>
      </c>
      <c r="M17" s="422"/>
      <c r="N17" s="1818">
        <v>1.5</v>
      </c>
      <c r="O17" s="422"/>
      <c r="P17" s="1819">
        <v>0.79999999999999982</v>
      </c>
      <c r="Q17" s="298"/>
      <c r="R17" s="1819">
        <v>0.90000000000000036</v>
      </c>
      <c r="S17" s="298"/>
      <c r="T17" s="1819">
        <v>0.59999999999999964</v>
      </c>
      <c r="U17" s="298"/>
      <c r="V17" s="1819">
        <f>$AA17-SUM($B17:T17)</f>
        <v>0.70000000000000107</v>
      </c>
      <c r="W17" s="298"/>
      <c r="X17" s="1819"/>
      <c r="Y17" s="1820"/>
      <c r="Z17" s="1821"/>
      <c r="AA17" s="1012">
        <v>9.8000000000000007</v>
      </c>
      <c r="AB17" s="274"/>
      <c r="AC17" s="535" t="s">
        <v>103</v>
      </c>
      <c r="AD17" s="1012">
        <v>7.2</v>
      </c>
      <c r="AE17" s="298"/>
      <c r="AF17" s="1822"/>
      <c r="AG17" s="274">
        <f>ROUND(SUM(AA17-AD17),1)</f>
        <v>2.6</v>
      </c>
      <c r="AI17" s="1669">
        <f>ROUND(IF(AD17=0,1,AG17/ABS(AD17)),3)</f>
        <v>0.36099999999999999</v>
      </c>
      <c r="AJ17" s="1712"/>
      <c r="AK17" s="1712"/>
    </row>
    <row r="18" spans="1:37">
      <c r="A18" s="423"/>
      <c r="B18" s="297"/>
      <c r="C18" s="274"/>
      <c r="D18" s="297"/>
      <c r="E18" s="274"/>
      <c r="F18" s="297"/>
      <c r="G18" s="298"/>
      <c r="H18" s="297"/>
      <c r="I18" s="422"/>
      <c r="J18" s="297"/>
      <c r="K18" s="274"/>
      <c r="L18" s="298"/>
      <c r="M18" s="422"/>
      <c r="N18" s="298"/>
      <c r="O18" s="422"/>
      <c r="P18" s="298"/>
      <c r="Q18" s="298"/>
      <c r="R18" s="298"/>
      <c r="S18" s="298"/>
      <c r="T18" s="298"/>
      <c r="U18" s="298"/>
      <c r="V18" s="298"/>
      <c r="W18" s="298"/>
      <c r="X18" s="298"/>
      <c r="Y18" s="1820"/>
      <c r="Z18" s="1821"/>
      <c r="AA18" s="297"/>
      <c r="AB18" s="1820"/>
      <c r="AC18" s="422"/>
      <c r="AD18" s="297"/>
      <c r="AE18" s="298"/>
      <c r="AF18" s="1822"/>
      <c r="AG18" s="1064"/>
      <c r="AI18" s="1711"/>
      <c r="AJ18" s="1712"/>
      <c r="AK18" s="1712"/>
    </row>
    <row r="19" spans="1:37">
      <c r="A19" s="3" t="s">
        <v>435</v>
      </c>
      <c r="B19" s="26">
        <f>ROUND(SUM(B17),1)</f>
        <v>0.9</v>
      </c>
      <c r="C19" s="13"/>
      <c r="D19" s="26">
        <f>ROUND(SUM(D17),1)</f>
        <v>0.9</v>
      </c>
      <c r="E19" s="13"/>
      <c r="F19" s="26">
        <f>ROUND(SUM(F17),1)</f>
        <v>0.9</v>
      </c>
      <c r="G19" s="13"/>
      <c r="H19" s="26">
        <f>ROUND(SUM(H17),1)</f>
        <v>0.8</v>
      </c>
      <c r="I19" s="18"/>
      <c r="J19" s="26">
        <f>ROUND(SUM(J17),1)</f>
        <v>1.5</v>
      </c>
      <c r="K19" s="13"/>
      <c r="L19" s="26">
        <f>ROUND(SUM(L17),1)</f>
        <v>0.3</v>
      </c>
      <c r="M19" s="1824"/>
      <c r="N19" s="26">
        <f>ROUND(SUM(N17),1)</f>
        <v>1.5</v>
      </c>
      <c r="O19" s="1824"/>
      <c r="P19" s="26">
        <f>ROUND(SUM(P17),1)</f>
        <v>0.8</v>
      </c>
      <c r="Q19" s="26">
        <f t="shared" ref="Q19" si="0">ROUND(SUM(Q17),1)</f>
        <v>0</v>
      </c>
      <c r="R19" s="26">
        <f>ROUND(SUM(R17),1)</f>
        <v>0.9</v>
      </c>
      <c r="S19" s="1824"/>
      <c r="T19" s="26">
        <f>ROUND(SUM(T17),1)</f>
        <v>0.6</v>
      </c>
      <c r="U19" s="1824"/>
      <c r="V19" s="1823">
        <f>ROUND(SUM(V17),1)</f>
        <v>0.7</v>
      </c>
      <c r="W19" s="1824"/>
      <c r="X19" s="1823">
        <f>ROUND(SUM(X17),1)</f>
        <v>0</v>
      </c>
      <c r="Y19" s="1825"/>
      <c r="Z19" s="1826"/>
      <c r="AA19" s="26">
        <f>ROUND(SUM(AA17),1)</f>
        <v>9.8000000000000007</v>
      </c>
      <c r="AB19" s="1825"/>
      <c r="AC19" s="1826"/>
      <c r="AD19" s="26">
        <f>ROUND(SUM(AD17),1)</f>
        <v>7.2</v>
      </c>
      <c r="AE19" s="26"/>
      <c r="AF19" s="1822"/>
      <c r="AG19" s="367">
        <f>ROUND(SUM(AG17),1)</f>
        <v>2.6</v>
      </c>
      <c r="AH19" s="80"/>
      <c r="AI19" s="1827">
        <f>ROUND(IF(AD19=0,1,AG19/ABS(AD19)),3)</f>
        <v>0.36099999999999999</v>
      </c>
      <c r="AJ19" s="1712"/>
      <c r="AK19" s="1712"/>
    </row>
    <row r="20" spans="1:37">
      <c r="B20" s="629"/>
      <c r="C20" s="274"/>
      <c r="D20" s="629"/>
      <c r="E20" s="274"/>
      <c r="F20" s="629"/>
      <c r="G20" s="274"/>
      <c r="H20" s="1828"/>
      <c r="I20" s="422"/>
      <c r="J20" s="1828"/>
      <c r="K20" s="274"/>
      <c r="L20" s="1828"/>
      <c r="M20" s="422"/>
      <c r="N20" s="1828"/>
      <c r="O20" s="422"/>
      <c r="P20" s="1828"/>
      <c r="Q20" s="422"/>
      <c r="R20" s="1828"/>
      <c r="S20" s="422"/>
      <c r="T20" s="1828"/>
      <c r="U20" s="422"/>
      <c r="V20" s="1828"/>
      <c r="W20" s="422"/>
      <c r="X20" s="1828"/>
      <c r="Y20" s="1820"/>
      <c r="Z20" s="1821"/>
      <c r="AA20" s="629"/>
      <c r="AB20" s="1820"/>
      <c r="AC20" s="422"/>
      <c r="AD20" s="1828"/>
      <c r="AE20" s="274"/>
      <c r="AF20" s="1822"/>
      <c r="AG20" s="274"/>
      <c r="AJ20" s="1712"/>
      <c r="AK20" s="1712"/>
    </row>
    <row r="21" spans="1:37">
      <c r="B21" s="274"/>
      <c r="C21" s="274"/>
      <c r="D21" s="274"/>
      <c r="E21" s="274"/>
      <c r="F21" s="274"/>
      <c r="G21" s="274"/>
      <c r="H21" s="422"/>
      <c r="I21" s="422"/>
      <c r="J21" s="422"/>
      <c r="K21" s="274"/>
      <c r="L21" s="422"/>
      <c r="M21" s="422"/>
      <c r="N21" s="422"/>
      <c r="O21" s="422"/>
      <c r="P21" s="422"/>
      <c r="Q21" s="422"/>
      <c r="R21" s="422"/>
      <c r="S21" s="422"/>
      <c r="T21" s="422"/>
      <c r="U21" s="422"/>
      <c r="V21" s="422"/>
      <c r="W21" s="422"/>
      <c r="X21" s="422"/>
      <c r="Y21" s="1820"/>
      <c r="Z21" s="1821"/>
      <c r="AA21" s="274"/>
      <c r="AB21" s="1820"/>
      <c r="AC21" s="422"/>
      <c r="AD21" s="422"/>
      <c r="AE21" s="274"/>
      <c r="AF21" s="1822"/>
      <c r="AG21" s="274"/>
      <c r="AJ21" s="1712"/>
      <c r="AK21" s="1712"/>
    </row>
    <row r="22" spans="1:37">
      <c r="A22" s="3" t="s">
        <v>122</v>
      </c>
      <c r="B22" s="274"/>
      <c r="C22" s="274"/>
      <c r="D22" s="274"/>
      <c r="E22" s="274"/>
      <c r="F22" s="274"/>
      <c r="G22" s="274"/>
      <c r="H22" s="422"/>
      <c r="I22" s="422"/>
      <c r="J22" s="422"/>
      <c r="K22" s="274"/>
      <c r="L22" s="422"/>
      <c r="M22" s="422"/>
      <c r="N22" s="422"/>
      <c r="O22" s="422"/>
      <c r="P22" s="422"/>
      <c r="Q22" s="422"/>
      <c r="R22" s="422"/>
      <c r="S22" s="422"/>
      <c r="T22" s="422"/>
      <c r="U22" s="422"/>
      <c r="V22" s="422"/>
      <c r="W22" s="422"/>
      <c r="X22" s="422"/>
      <c r="Y22" s="1820"/>
      <c r="Z22" s="1821"/>
      <c r="AA22" s="274"/>
      <c r="AB22" s="1820"/>
      <c r="AC22" s="422"/>
      <c r="AD22" s="422"/>
      <c r="AE22" s="274"/>
      <c r="AF22" s="1822"/>
      <c r="AG22" s="274"/>
      <c r="AJ22" s="1712"/>
      <c r="AK22" s="1712"/>
    </row>
    <row r="23" spans="1:37">
      <c r="A23" s="301" t="s">
        <v>461</v>
      </c>
      <c r="B23" s="285"/>
      <c r="C23" s="274"/>
      <c r="D23" s="274"/>
      <c r="E23" s="274"/>
      <c r="F23" s="274"/>
      <c r="G23" s="274"/>
      <c r="H23" s="422"/>
      <c r="I23" s="422"/>
      <c r="J23" s="422"/>
      <c r="K23" s="274"/>
      <c r="L23" s="422"/>
      <c r="M23" s="422"/>
      <c r="N23" s="422"/>
      <c r="O23" s="422"/>
      <c r="P23" s="422"/>
      <c r="Q23" s="422"/>
      <c r="R23" s="422"/>
      <c r="S23" s="422"/>
      <c r="T23" s="422"/>
      <c r="U23" s="422"/>
      <c r="V23" s="422"/>
      <c r="W23" s="422"/>
      <c r="X23" s="422"/>
      <c r="Y23" s="1820"/>
      <c r="Z23" s="1821"/>
      <c r="AA23" s="285"/>
      <c r="AB23" s="1829"/>
      <c r="AC23" s="1830"/>
      <c r="AD23" s="422"/>
      <c r="AE23" s="285"/>
      <c r="AF23" s="413"/>
      <c r="AG23" s="274"/>
      <c r="AJ23" s="1712"/>
      <c r="AK23" s="1712"/>
    </row>
    <row r="24" spans="1:37">
      <c r="A24" s="301" t="s">
        <v>601</v>
      </c>
      <c r="B24" s="297">
        <v>0.1</v>
      </c>
      <c r="C24" s="274"/>
      <c r="D24" s="297">
        <v>0</v>
      </c>
      <c r="E24" s="274"/>
      <c r="F24" s="297">
        <v>0.1</v>
      </c>
      <c r="G24" s="274"/>
      <c r="H24" s="297">
        <v>0</v>
      </c>
      <c r="I24" s="422"/>
      <c r="J24" s="297">
        <v>0</v>
      </c>
      <c r="K24" s="274"/>
      <c r="L24" s="297">
        <v>0</v>
      </c>
      <c r="M24" s="422"/>
      <c r="N24" s="297">
        <v>0</v>
      </c>
      <c r="O24" s="422"/>
      <c r="P24" s="298">
        <v>0</v>
      </c>
      <c r="Q24" s="298"/>
      <c r="R24" s="298">
        <v>0</v>
      </c>
      <c r="S24" s="298"/>
      <c r="T24" s="298">
        <v>0</v>
      </c>
      <c r="U24" s="298"/>
      <c r="V24" s="298">
        <f>$AA24-SUM($B24:T24)</f>
        <v>0.2</v>
      </c>
      <c r="W24" s="298"/>
      <c r="X24" s="298"/>
      <c r="Y24" s="1820"/>
      <c r="Z24" s="1821"/>
      <c r="AA24" s="542">
        <v>0.4</v>
      </c>
      <c r="AB24" s="274"/>
      <c r="AC24" s="535" t="s">
        <v>103</v>
      </c>
      <c r="AD24" s="542">
        <v>0.5</v>
      </c>
      <c r="AE24" s="299"/>
      <c r="AF24" s="413"/>
      <c r="AG24" s="274">
        <f>ROUND(SUM(AA24-AD24),1)</f>
        <v>-0.1</v>
      </c>
      <c r="AI24" s="1664">
        <f>ROUND(IF(AD24=0,1,AG24/ABS(AD24)),3)</f>
        <v>-0.2</v>
      </c>
      <c r="AJ24" s="1712"/>
      <c r="AK24" s="1712"/>
    </row>
    <row r="25" spans="1:37">
      <c r="A25" s="423" t="s">
        <v>518</v>
      </c>
      <c r="B25" s="297">
        <v>0</v>
      </c>
      <c r="C25" s="274"/>
      <c r="D25" s="297">
        <v>0</v>
      </c>
      <c r="E25" s="274"/>
      <c r="F25" s="297">
        <v>0</v>
      </c>
      <c r="G25" s="274"/>
      <c r="H25" s="297">
        <v>0</v>
      </c>
      <c r="I25" s="422"/>
      <c r="J25" s="297">
        <v>0</v>
      </c>
      <c r="K25" s="274"/>
      <c r="L25" s="297">
        <v>0</v>
      </c>
      <c r="M25" s="422"/>
      <c r="N25" s="297">
        <v>0.1</v>
      </c>
      <c r="O25" s="422"/>
      <c r="P25" s="298">
        <v>0</v>
      </c>
      <c r="Q25" s="422"/>
      <c r="R25" s="298">
        <v>0</v>
      </c>
      <c r="S25" s="422"/>
      <c r="T25" s="298">
        <v>0</v>
      </c>
      <c r="U25" s="422"/>
      <c r="V25" s="298">
        <f>$AA25-SUM($B25:T25)</f>
        <v>0</v>
      </c>
      <c r="W25" s="422"/>
      <c r="X25" s="298"/>
      <c r="Y25" s="1820"/>
      <c r="Z25" s="1821"/>
      <c r="AA25" s="542">
        <v>0.1</v>
      </c>
      <c r="AB25" s="274"/>
      <c r="AC25" s="535" t="s">
        <v>103</v>
      </c>
      <c r="AD25" s="542">
        <v>0.1</v>
      </c>
      <c r="AE25" s="285"/>
      <c r="AF25" s="413"/>
      <c r="AG25" s="274">
        <f>ROUND(SUM(AA25-AD25),1)</f>
        <v>0</v>
      </c>
      <c r="AH25" s="1643"/>
      <c r="AI25" s="1664">
        <f>ROUND(IF(AD25=0,0,AG25/ABS(AD25)),3)</f>
        <v>0</v>
      </c>
      <c r="AJ25" s="1712"/>
      <c r="AK25" s="1712"/>
    </row>
    <row r="26" spans="1:37" s="10" customFormat="1">
      <c r="A26" s="301" t="s">
        <v>464</v>
      </c>
      <c r="B26" s="274">
        <v>0</v>
      </c>
      <c r="C26" s="274"/>
      <c r="D26" s="274">
        <v>0.1</v>
      </c>
      <c r="E26" s="274"/>
      <c r="F26" s="274">
        <v>0</v>
      </c>
      <c r="G26" s="274"/>
      <c r="H26" s="274">
        <v>0</v>
      </c>
      <c r="I26" s="274"/>
      <c r="J26" s="274">
        <v>0</v>
      </c>
      <c r="K26" s="274"/>
      <c r="L26" s="1818">
        <v>0.1</v>
      </c>
      <c r="M26" s="274"/>
      <c r="N26" s="1818">
        <v>0</v>
      </c>
      <c r="O26" s="274"/>
      <c r="P26" s="274">
        <v>0</v>
      </c>
      <c r="Q26" s="274"/>
      <c r="R26" s="274">
        <v>0</v>
      </c>
      <c r="S26" s="274"/>
      <c r="T26" s="274">
        <v>0</v>
      </c>
      <c r="U26" s="274"/>
      <c r="V26" s="274">
        <f>$AA26-SUM($B26:T26)</f>
        <v>9.9999999999999978E-2</v>
      </c>
      <c r="W26" s="274"/>
      <c r="X26" s="274"/>
      <c r="Y26" s="274"/>
      <c r="Z26" s="534"/>
      <c r="AA26" s="542">
        <v>0.3</v>
      </c>
      <c r="AB26" s="274"/>
      <c r="AC26" s="535" t="s">
        <v>103</v>
      </c>
      <c r="AD26" s="542">
        <v>0.30000000000000004</v>
      </c>
      <c r="AE26" s="274"/>
      <c r="AF26" s="1822"/>
      <c r="AG26" s="393">
        <f>ROUND(SUM(AA26-AD26),1)</f>
        <v>0</v>
      </c>
      <c r="AH26" s="301"/>
      <c r="AI26" s="1662">
        <f>ROUND(IF(AD26=0,0,AG26/ABS(AD26)),3)</f>
        <v>0</v>
      </c>
      <c r="AJ26" s="1712"/>
      <c r="AK26" s="1713"/>
    </row>
    <row r="27" spans="1:37" s="10" customFormat="1">
      <c r="A27" s="301"/>
      <c r="B27" s="629"/>
      <c r="C27" s="274"/>
      <c r="D27" s="629"/>
      <c r="E27" s="274"/>
      <c r="F27" s="629"/>
      <c r="G27" s="274"/>
      <c r="H27" s="629"/>
      <c r="I27" s="274"/>
      <c r="J27" s="629"/>
      <c r="K27" s="274"/>
      <c r="L27" s="629"/>
      <c r="M27" s="274"/>
      <c r="N27" s="629"/>
      <c r="O27" s="274"/>
      <c r="P27" s="629"/>
      <c r="Q27" s="274"/>
      <c r="R27" s="629"/>
      <c r="S27" s="274"/>
      <c r="T27" s="629"/>
      <c r="U27" s="274"/>
      <c r="V27" s="629"/>
      <c r="W27" s="274"/>
      <c r="X27" s="629"/>
      <c r="Y27" s="274"/>
      <c r="Z27" s="534"/>
      <c r="AA27" s="629"/>
      <c r="AB27" s="1264"/>
      <c r="AC27" s="274"/>
      <c r="AD27" s="629"/>
      <c r="AE27" s="26"/>
      <c r="AF27" s="413"/>
      <c r="AG27" s="274"/>
      <c r="AH27" s="278"/>
      <c r="AI27" s="1646"/>
      <c r="AJ27" s="1712"/>
      <c r="AK27" s="1713"/>
    </row>
    <row r="28" spans="1:37" s="10" customFormat="1">
      <c r="A28" s="3" t="s">
        <v>465</v>
      </c>
      <c r="B28" s="13">
        <f>ROUND(SUM(B24:B26),1)</f>
        <v>0.1</v>
      </c>
      <c r="C28" s="13"/>
      <c r="D28" s="13">
        <f>ROUND(SUM(D24:D26),1)</f>
        <v>0.1</v>
      </c>
      <c r="E28" s="13"/>
      <c r="F28" s="13">
        <f>ROUND(SUM(F24:F26),1)</f>
        <v>0.1</v>
      </c>
      <c r="G28" s="13"/>
      <c r="H28" s="13">
        <f>ROUND(SUM(H24:H26),1)</f>
        <v>0</v>
      </c>
      <c r="I28" s="13"/>
      <c r="J28" s="13">
        <f>ROUND(SUM(J24:J26),1)</f>
        <v>0</v>
      </c>
      <c r="K28" s="13"/>
      <c r="L28" s="13">
        <f>ROUND(SUM(L24:L26),1)</f>
        <v>0.1</v>
      </c>
      <c r="M28" s="13"/>
      <c r="N28" s="13">
        <f>ROUND(SUM(N24:N26),1)</f>
        <v>0.1</v>
      </c>
      <c r="O28" s="13"/>
      <c r="P28" s="13">
        <f>ROUND(SUM(P24:P26),1)</f>
        <v>0</v>
      </c>
      <c r="Q28" s="13"/>
      <c r="R28" s="13">
        <f>ROUND(SUM(R24:R26),1)</f>
        <v>0</v>
      </c>
      <c r="S28" s="13"/>
      <c r="T28" s="13">
        <f>ROUND(SUM(T24:T26),1)</f>
        <v>0</v>
      </c>
      <c r="U28" s="13"/>
      <c r="V28" s="13">
        <f>ROUND(SUM(V24:V26),1)</f>
        <v>0.3</v>
      </c>
      <c r="W28" s="13"/>
      <c r="X28" s="13">
        <f>ROUND(SUM(X24:X26),1)</f>
        <v>0</v>
      </c>
      <c r="Y28" s="13"/>
      <c r="Z28" s="14"/>
      <c r="AA28" s="13">
        <f>ROUND(SUM(AA24:AA26),1)</f>
        <v>0.8</v>
      </c>
      <c r="AB28" s="1266"/>
      <c r="AC28" s="13"/>
      <c r="AD28" s="13">
        <f>ROUND(SUM(AD24:AD26),1)</f>
        <v>0.9</v>
      </c>
      <c r="AE28" s="274"/>
      <c r="AF28" s="1831"/>
      <c r="AG28" s="367">
        <f>ROUND(SUM(AG24:AG26),1)</f>
        <v>-0.1</v>
      </c>
      <c r="AH28" s="40"/>
      <c r="AI28" s="1649">
        <f>ROUND(IF(AD28=0,1,AG28/ABS(AD28)),3)</f>
        <v>-0.111</v>
      </c>
      <c r="AJ28" s="1712"/>
      <c r="AK28" s="1713"/>
    </row>
    <row r="29" spans="1:37" s="10" customFormat="1">
      <c r="A29" s="301"/>
      <c r="B29" s="629"/>
      <c r="C29" s="274"/>
      <c r="D29" s="629"/>
      <c r="E29" s="274"/>
      <c r="F29" s="629"/>
      <c r="G29" s="274"/>
      <c r="H29" s="629"/>
      <c r="I29" s="274"/>
      <c r="J29" s="629"/>
      <c r="K29" s="274"/>
      <c r="L29" s="629"/>
      <c r="M29" s="274"/>
      <c r="N29" s="629"/>
      <c r="O29" s="274"/>
      <c r="P29" s="629"/>
      <c r="Q29" s="274"/>
      <c r="R29" s="629"/>
      <c r="S29" s="274"/>
      <c r="T29" s="629"/>
      <c r="U29" s="274"/>
      <c r="V29" s="629"/>
      <c r="W29" s="274"/>
      <c r="X29" s="629"/>
      <c r="Y29" s="274"/>
      <c r="Z29" s="534"/>
      <c r="AA29" s="629"/>
      <c r="AB29" s="1264"/>
      <c r="AC29" s="274"/>
      <c r="AD29" s="629"/>
      <c r="AE29" s="274"/>
      <c r="AF29" s="1831"/>
      <c r="AG29" s="274"/>
      <c r="AH29" s="301"/>
      <c r="AI29" s="301"/>
      <c r="AJ29" s="1712"/>
      <c r="AK29" s="1713"/>
    </row>
    <row r="30" spans="1:37">
      <c r="B30" s="274"/>
      <c r="C30" s="274"/>
      <c r="D30" s="274"/>
      <c r="E30" s="274"/>
      <c r="F30" s="274"/>
      <c r="G30" s="274"/>
      <c r="H30" s="422"/>
      <c r="I30" s="422"/>
      <c r="J30" s="422"/>
      <c r="K30" s="274"/>
      <c r="L30" s="422"/>
      <c r="M30" s="422"/>
      <c r="N30" s="422"/>
      <c r="O30" s="422"/>
      <c r="P30" s="422"/>
      <c r="Q30" s="422"/>
      <c r="R30" s="422"/>
      <c r="S30" s="422"/>
      <c r="T30" s="422"/>
      <c r="U30" s="422"/>
      <c r="V30" s="422"/>
      <c r="W30" s="422"/>
      <c r="X30" s="422"/>
      <c r="Y30" s="1820"/>
      <c r="Z30" s="1821"/>
      <c r="AA30" s="274"/>
      <c r="AB30" s="1820"/>
      <c r="AC30" s="422"/>
      <c r="AD30" s="274"/>
      <c r="AE30" s="274"/>
      <c r="AF30" s="1822"/>
      <c r="AG30" s="274"/>
      <c r="AJ30" s="1809"/>
      <c r="AK30" s="1809"/>
    </row>
    <row r="31" spans="1:37">
      <c r="A31" s="3" t="s">
        <v>466</v>
      </c>
      <c r="B31" s="274"/>
      <c r="C31" s="274"/>
      <c r="D31" s="274"/>
      <c r="E31" s="274"/>
      <c r="F31" s="274"/>
      <c r="G31" s="274"/>
      <c r="H31" s="422"/>
      <c r="I31" s="422"/>
      <c r="J31" s="422"/>
      <c r="K31" s="274"/>
      <c r="L31" s="422"/>
      <c r="M31" s="422"/>
      <c r="N31" s="422"/>
      <c r="O31" s="422"/>
      <c r="P31" s="422"/>
      <c r="Q31" s="422"/>
      <c r="R31" s="422"/>
      <c r="S31" s="422"/>
      <c r="T31" s="422"/>
      <c r="U31" s="422"/>
      <c r="V31" s="422"/>
      <c r="W31" s="422"/>
      <c r="X31" s="422"/>
      <c r="Y31" s="1820"/>
      <c r="Z31" s="1821"/>
      <c r="AA31" s="274"/>
      <c r="AB31" s="1820"/>
      <c r="AC31" s="422"/>
      <c r="AD31" s="422"/>
      <c r="AE31" s="274"/>
      <c r="AF31" s="1822"/>
      <c r="AG31" s="274"/>
      <c r="AJ31" s="1712"/>
      <c r="AK31" s="1712"/>
    </row>
    <row r="32" spans="1:37">
      <c r="A32" s="3" t="s">
        <v>144</v>
      </c>
      <c r="B32" s="1832">
        <f>ROUND(B19-B28,1)</f>
        <v>0.8</v>
      </c>
      <c r="C32" s="13"/>
      <c r="D32" s="1832">
        <f>ROUND(D19-D28,1)</f>
        <v>0.8</v>
      </c>
      <c r="E32" s="17"/>
      <c r="F32" s="1832">
        <f>ROUND(F19-F28,1)</f>
        <v>0.8</v>
      </c>
      <c r="G32" s="17"/>
      <c r="H32" s="1832">
        <f>ROUND(H19-H28,1)</f>
        <v>0.8</v>
      </c>
      <c r="I32" s="17"/>
      <c r="J32" s="1832">
        <f>ROUND(J19-J28,1)</f>
        <v>1.5</v>
      </c>
      <c r="K32" s="17"/>
      <c r="L32" s="1832">
        <f>ROUND(L19-L28,1)</f>
        <v>0.2</v>
      </c>
      <c r="M32" s="1833"/>
      <c r="N32" s="1832">
        <f>ROUND(N19-N28,1)</f>
        <v>1.4</v>
      </c>
      <c r="O32" s="1833"/>
      <c r="P32" s="1832">
        <f>ROUND(P19-P28,1)</f>
        <v>0.8</v>
      </c>
      <c r="Q32" s="26"/>
      <c r="R32" s="1832">
        <f>ROUND(R19-R28,1)</f>
        <v>0.9</v>
      </c>
      <c r="S32" s="1833"/>
      <c r="T32" s="1832">
        <f>ROUND(T19-T28,1)</f>
        <v>0.6</v>
      </c>
      <c r="U32" s="1833"/>
      <c r="V32" s="1832">
        <f>ROUND(V19-V28,1)</f>
        <v>0.4</v>
      </c>
      <c r="W32" s="1833"/>
      <c r="X32" s="1832">
        <f>ROUND(X19-X28,1)</f>
        <v>0</v>
      </c>
      <c r="Y32" s="1825"/>
      <c r="Z32" s="1826"/>
      <c r="AA32" s="1832">
        <f>ROUND(AA19-AA28,1)</f>
        <v>9</v>
      </c>
      <c r="AB32" s="1825"/>
      <c r="AC32" s="1824"/>
      <c r="AD32" s="1832">
        <f>ROUND(AD19-AD28,1)</f>
        <v>6.3</v>
      </c>
      <c r="AE32" s="26"/>
      <c r="AF32" s="413"/>
      <c r="AG32" s="1834">
        <f>ROUND(SUM(AG19-AG28),1)</f>
        <v>2.7</v>
      </c>
      <c r="AH32" s="40"/>
      <c r="AI32" s="1835">
        <f>ROUND(IF(AD32=0,1,AG32/ABS(AD32)),3)</f>
        <v>0.42899999999999999</v>
      </c>
      <c r="AJ32" s="1712"/>
      <c r="AK32" s="1712"/>
    </row>
    <row r="33" spans="1:37">
      <c r="B33" s="274"/>
      <c r="C33" s="274"/>
      <c r="D33" s="274"/>
      <c r="E33" s="274"/>
      <c r="F33" s="274"/>
      <c r="G33" s="274"/>
      <c r="H33" s="422"/>
      <c r="I33" s="422"/>
      <c r="J33" s="422"/>
      <c r="K33" s="274"/>
      <c r="L33" s="422"/>
      <c r="M33" s="422"/>
      <c r="N33" s="422"/>
      <c r="O33" s="422"/>
      <c r="P33" s="422"/>
      <c r="Q33" s="422"/>
      <c r="R33" s="422"/>
      <c r="S33" s="422"/>
      <c r="T33" s="422"/>
      <c r="U33" s="422"/>
      <c r="V33" s="422"/>
      <c r="W33" s="422"/>
      <c r="X33" s="1828"/>
      <c r="Y33" s="1820"/>
      <c r="Z33" s="1821"/>
      <c r="AA33" s="274"/>
      <c r="AB33" s="1820"/>
      <c r="AC33" s="422"/>
      <c r="AD33" s="422"/>
      <c r="AE33" s="274"/>
      <c r="AF33" s="1831"/>
      <c r="AG33" s="274"/>
      <c r="AJ33" s="1712"/>
      <c r="AK33" s="1712"/>
    </row>
    <row r="34" spans="1:37">
      <c r="B34" s="274"/>
      <c r="C34" s="274"/>
      <c r="D34" s="274"/>
      <c r="E34" s="274"/>
      <c r="F34" s="274"/>
      <c r="G34" s="274"/>
      <c r="H34" s="422"/>
      <c r="I34" s="422"/>
      <c r="J34" s="422"/>
      <c r="K34" s="274"/>
      <c r="L34" s="422"/>
      <c r="M34" s="422"/>
      <c r="N34" s="422"/>
      <c r="O34" s="422"/>
      <c r="P34" s="422"/>
      <c r="Q34" s="422"/>
      <c r="R34" s="422"/>
      <c r="S34" s="422"/>
      <c r="T34" s="422"/>
      <c r="U34" s="422"/>
      <c r="V34" s="422"/>
      <c r="W34" s="422"/>
      <c r="X34" s="422"/>
      <c r="Y34" s="1820"/>
      <c r="Z34" s="1821"/>
      <c r="AA34" s="274"/>
      <c r="AB34" s="1820"/>
      <c r="AC34" s="422"/>
      <c r="AD34" s="422"/>
      <c r="AE34" s="274"/>
      <c r="AF34" s="1831"/>
      <c r="AG34" s="274"/>
      <c r="AJ34" s="1712"/>
      <c r="AK34" s="1712"/>
    </row>
    <row r="35" spans="1:37">
      <c r="A35" s="3" t="s">
        <v>145</v>
      </c>
      <c r="B35" s="274"/>
      <c r="C35" s="274"/>
      <c r="D35" s="274"/>
      <c r="E35" s="274"/>
      <c r="F35" s="274"/>
      <c r="G35" s="274"/>
      <c r="H35" s="422"/>
      <c r="I35" s="422"/>
      <c r="J35" s="422"/>
      <c r="K35" s="274"/>
      <c r="L35" s="422"/>
      <c r="M35" s="422"/>
      <c r="N35" s="422"/>
      <c r="O35" s="422"/>
      <c r="P35" s="422"/>
      <c r="Q35" s="422"/>
      <c r="R35" s="422"/>
      <c r="S35" s="422"/>
      <c r="T35" s="422"/>
      <c r="U35" s="422"/>
      <c r="V35" s="422"/>
      <c r="W35" s="422"/>
      <c r="X35" s="422"/>
      <c r="Y35" s="1820"/>
      <c r="Z35" s="1821"/>
      <c r="AA35" s="274"/>
      <c r="AB35" s="1820"/>
      <c r="AC35" s="422"/>
      <c r="AD35" s="422"/>
      <c r="AE35" s="274"/>
      <c r="AF35" s="1831"/>
      <c r="AG35" s="274"/>
      <c r="AJ35" s="1712"/>
      <c r="AK35" s="1712"/>
    </row>
    <row r="36" spans="1:37">
      <c r="A36" s="301" t="s">
        <v>545</v>
      </c>
      <c r="B36" s="297">
        <v>0</v>
      </c>
      <c r="C36" s="274"/>
      <c r="D36" s="297">
        <v>0</v>
      </c>
      <c r="E36" s="274"/>
      <c r="F36" s="297">
        <v>0</v>
      </c>
      <c r="G36" s="274"/>
      <c r="H36" s="297">
        <v>0</v>
      </c>
      <c r="I36" s="422"/>
      <c r="J36" s="297">
        <v>0</v>
      </c>
      <c r="K36" s="274"/>
      <c r="L36" s="297">
        <v>0</v>
      </c>
      <c r="M36" s="422"/>
      <c r="N36" s="297">
        <v>0</v>
      </c>
      <c r="O36" s="422"/>
      <c r="P36" s="298">
        <v>0</v>
      </c>
      <c r="Q36" s="422"/>
      <c r="R36" s="298">
        <v>0</v>
      </c>
      <c r="S36" s="422"/>
      <c r="T36" s="298">
        <v>0</v>
      </c>
      <c r="U36" s="422"/>
      <c r="V36" s="298">
        <f>$AA36-SUM($B36:T36)</f>
        <v>0</v>
      </c>
      <c r="W36" s="422"/>
      <c r="X36" s="298"/>
      <c r="Y36" s="1820"/>
      <c r="Z36" s="1821"/>
      <c r="AA36" s="542">
        <v>0</v>
      </c>
      <c r="AB36" s="274"/>
      <c r="AC36" s="535" t="s">
        <v>103</v>
      </c>
      <c r="AD36" s="542">
        <v>0</v>
      </c>
      <c r="AE36" s="285"/>
      <c r="AF36" s="1836"/>
      <c r="AG36" s="274">
        <f>ROUND(SUM(AA36-AD36),1)</f>
        <v>0</v>
      </c>
      <c r="AH36" s="1643"/>
      <c r="AI36" s="1664">
        <f>ROUND(IF(AG36=0,0,AG36/ABS(AD36)),3)</f>
        <v>0</v>
      </c>
      <c r="AJ36" s="1712"/>
      <c r="AK36" s="1712"/>
    </row>
    <row r="37" spans="1:37" s="10" customFormat="1">
      <c r="A37" s="301" t="s">
        <v>546</v>
      </c>
      <c r="B37" s="274">
        <v>0</v>
      </c>
      <c r="C37" s="274"/>
      <c r="D37" s="274">
        <v>0</v>
      </c>
      <c r="E37" s="274"/>
      <c r="F37" s="274">
        <v>0</v>
      </c>
      <c r="G37" s="274"/>
      <c r="H37" s="274">
        <v>0</v>
      </c>
      <c r="I37" s="274"/>
      <c r="J37" s="274">
        <v>0</v>
      </c>
      <c r="K37" s="274"/>
      <c r="L37" s="297">
        <v>0</v>
      </c>
      <c r="M37" s="274"/>
      <c r="N37" s="297">
        <v>0</v>
      </c>
      <c r="O37" s="274"/>
      <c r="P37" s="274">
        <v>0</v>
      </c>
      <c r="Q37" s="274"/>
      <c r="R37" s="274">
        <v>0</v>
      </c>
      <c r="S37" s="274"/>
      <c r="T37" s="274">
        <v>0</v>
      </c>
      <c r="U37" s="274"/>
      <c r="V37" s="274">
        <f>$AA37-SUM($B37:T37)</f>
        <v>0</v>
      </c>
      <c r="W37" s="274"/>
      <c r="X37" s="274"/>
      <c r="Y37" s="274"/>
      <c r="Z37" s="534"/>
      <c r="AA37" s="542">
        <v>0</v>
      </c>
      <c r="AB37" s="274"/>
      <c r="AC37" s="535" t="s">
        <v>103</v>
      </c>
      <c r="AD37" s="542">
        <v>0</v>
      </c>
      <c r="AE37" s="278"/>
      <c r="AF37" s="417"/>
      <c r="AG37" s="1837">
        <f>ROUND(SUM(AA37-AD37),1)</f>
        <v>0</v>
      </c>
      <c r="AH37" s="1643"/>
      <c r="AI37" s="1052">
        <f>ROUND(IF(AG37=0,0,AG37/ABS(AD37)),3)</f>
        <v>0</v>
      </c>
      <c r="AJ37" s="1712"/>
      <c r="AK37" s="1713"/>
    </row>
    <row r="38" spans="1:37" s="10" customFormat="1">
      <c r="A38" s="301"/>
      <c r="B38" s="629"/>
      <c r="C38" s="274"/>
      <c r="D38" s="629"/>
      <c r="E38" s="274"/>
      <c r="F38" s="629"/>
      <c r="G38" s="274"/>
      <c r="H38" s="629"/>
      <c r="I38" s="274"/>
      <c r="J38" s="629"/>
      <c r="K38" s="274"/>
      <c r="L38" s="629"/>
      <c r="M38" s="274"/>
      <c r="N38" s="629"/>
      <c r="O38" s="274"/>
      <c r="P38" s="629"/>
      <c r="Q38" s="274"/>
      <c r="R38" s="629"/>
      <c r="S38" s="274"/>
      <c r="T38" s="629"/>
      <c r="U38" s="274"/>
      <c r="V38" s="629"/>
      <c r="W38" s="274"/>
      <c r="X38" s="629"/>
      <c r="Y38" s="274"/>
      <c r="Z38" s="534"/>
      <c r="AA38" s="1838"/>
      <c r="AB38" s="1264"/>
      <c r="AC38" s="274"/>
      <c r="AD38" s="1838"/>
      <c r="AE38" s="278"/>
      <c r="AF38" s="417"/>
      <c r="AG38" s="301"/>
      <c r="AH38" s="301"/>
      <c r="AI38" s="301"/>
      <c r="AJ38" s="1712"/>
      <c r="AK38" s="1713"/>
    </row>
    <row r="39" spans="1:37" s="10" customFormat="1">
      <c r="A39" s="3" t="s">
        <v>596</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66"/>
      <c r="AC39" s="13"/>
      <c r="AD39" s="13">
        <f>ROUND(SUM(AD36:AD37),1)</f>
        <v>0</v>
      </c>
      <c r="AE39" s="112"/>
      <c r="AF39" s="413"/>
      <c r="AG39" s="367">
        <f>ROUND(SUM(AG36-AG37),1)</f>
        <v>0</v>
      </c>
      <c r="AH39" s="55"/>
      <c r="AI39" s="1649">
        <f>ROUND(IF(AG39=0,0,AG39/ABS(AD39)),3)</f>
        <v>0</v>
      </c>
      <c r="AJ39" s="1712"/>
      <c r="AK39" s="1713"/>
    </row>
    <row r="40" spans="1:37" s="10" customFormat="1">
      <c r="A40" s="301"/>
      <c r="B40" s="629"/>
      <c r="C40" s="274"/>
      <c r="D40" s="629" t="s">
        <v>103</v>
      </c>
      <c r="E40" s="274"/>
      <c r="F40" s="629"/>
      <c r="G40" s="274"/>
      <c r="H40" s="629"/>
      <c r="I40" s="274"/>
      <c r="J40" s="629"/>
      <c r="K40" s="274"/>
      <c r="L40" s="629"/>
      <c r="M40" s="274"/>
      <c r="N40" s="629"/>
      <c r="O40" s="274"/>
      <c r="P40" s="629"/>
      <c r="Q40" s="274"/>
      <c r="R40" s="629"/>
      <c r="S40" s="274"/>
      <c r="T40" s="629"/>
      <c r="U40" s="274"/>
      <c r="V40" s="629"/>
      <c r="W40" s="274"/>
      <c r="X40" s="629"/>
      <c r="Y40" s="274"/>
      <c r="Z40" s="534"/>
      <c r="AA40" s="629"/>
      <c r="AB40" s="1264"/>
      <c r="AC40" s="274"/>
      <c r="AD40" s="629"/>
      <c r="AE40" s="278"/>
      <c r="AF40" s="417"/>
      <c r="AG40" s="301"/>
      <c r="AH40" s="301"/>
      <c r="AI40" s="301"/>
      <c r="AJ40" s="1712"/>
      <c r="AK40" s="1713"/>
    </row>
    <row r="41" spans="1:37" s="10" customFormat="1">
      <c r="A41" s="301"/>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534"/>
      <c r="AA41" s="274"/>
      <c r="AB41" s="1264"/>
      <c r="AC41" s="274"/>
      <c r="AD41" s="274"/>
      <c r="AE41" s="278"/>
      <c r="AF41" s="417"/>
      <c r="AG41" s="301"/>
      <c r="AH41" s="301"/>
      <c r="AI41" s="301"/>
      <c r="AJ41" s="1712"/>
      <c r="AK41" s="1713"/>
    </row>
    <row r="42" spans="1:37">
      <c r="A42" s="3" t="s">
        <v>477</v>
      </c>
      <c r="B42" s="274"/>
      <c r="C42" s="274"/>
      <c r="D42" s="274" t="s">
        <v>103</v>
      </c>
      <c r="E42" s="274"/>
      <c r="F42" s="274"/>
      <c r="G42" s="274"/>
      <c r="H42" s="422"/>
      <c r="I42" s="422"/>
      <c r="J42" s="422"/>
      <c r="K42" s="274"/>
      <c r="L42" s="422"/>
      <c r="M42" s="422"/>
      <c r="N42" s="422"/>
      <c r="O42" s="422"/>
      <c r="P42" s="422"/>
      <c r="Q42" s="422"/>
      <c r="R42" s="422"/>
      <c r="S42" s="422"/>
      <c r="T42" s="422"/>
      <c r="U42" s="422"/>
      <c r="V42" s="422"/>
      <c r="W42" s="422"/>
      <c r="X42" s="422"/>
      <c r="Y42" s="1820"/>
      <c r="Z42" s="1821"/>
      <c r="AA42" s="274"/>
      <c r="AB42" s="1820"/>
      <c r="AC42" s="422"/>
      <c r="AD42" s="274"/>
      <c r="AE42" s="274"/>
      <c r="AF42" s="1822"/>
      <c r="AG42" s="274"/>
      <c r="AJ42" s="1712"/>
      <c r="AK42" s="1712"/>
    </row>
    <row r="43" spans="1:37">
      <c r="A43" s="3" t="s">
        <v>603</v>
      </c>
      <c r="B43" s="274"/>
      <c r="C43" s="274"/>
      <c r="D43" s="274"/>
      <c r="E43" s="274"/>
      <c r="F43" s="274"/>
      <c r="G43" s="274"/>
      <c r="H43" s="422"/>
      <c r="I43" s="422"/>
      <c r="J43" s="422"/>
      <c r="K43" s="274"/>
      <c r="L43" s="422"/>
      <c r="M43" s="422"/>
      <c r="N43" s="422"/>
      <c r="O43" s="422"/>
      <c r="P43" s="422"/>
      <c r="Q43" s="422"/>
      <c r="R43" s="422"/>
      <c r="S43" s="422"/>
      <c r="T43" s="18"/>
      <c r="U43" s="422"/>
      <c r="V43" s="18"/>
      <c r="W43" s="422"/>
      <c r="X43" s="422"/>
      <c r="Y43" s="1820"/>
      <c r="Z43" s="1821"/>
      <c r="AA43" s="274"/>
      <c r="AB43" s="1820"/>
      <c r="AC43" s="422"/>
      <c r="AD43" s="18"/>
      <c r="AE43" s="18"/>
      <c r="AF43" s="417"/>
      <c r="AG43" s="274"/>
      <c r="AJ43" s="1712"/>
      <c r="AK43" s="1712"/>
    </row>
    <row r="44" spans="1:37" s="3" customFormat="1">
      <c r="A44" s="3" t="s">
        <v>479</v>
      </c>
      <c r="B44" s="1832">
        <f>ROUND(B32+B39,1)</f>
        <v>0.8</v>
      </c>
      <c r="C44" s="13"/>
      <c r="D44" s="1832">
        <f>ROUND(D32+D39,1)</f>
        <v>0.8</v>
      </c>
      <c r="E44" s="18"/>
      <c r="F44" s="1832">
        <f>ROUND(F32+F39,1)</f>
        <v>0.8</v>
      </c>
      <c r="G44" s="18"/>
      <c r="H44" s="1832">
        <f>ROUND(H32+H39,1)</f>
        <v>0.8</v>
      </c>
      <c r="I44" s="1839"/>
      <c r="J44" s="1832">
        <f>ROUND(J32+J39,1)</f>
        <v>1.5</v>
      </c>
      <c r="K44" s="18"/>
      <c r="L44" s="1832">
        <f>ROUND(L32+L39,1)</f>
        <v>0.2</v>
      </c>
      <c r="M44" s="26"/>
      <c r="N44" s="1832">
        <f>ROUND(N32+N39,1)</f>
        <v>1.4</v>
      </c>
      <c r="O44" s="26"/>
      <c r="P44" s="1832">
        <f>ROUND(P32+P39,1)</f>
        <v>0.8</v>
      </c>
      <c r="Q44" s="26"/>
      <c r="R44" s="1832">
        <f>ROUND(R32+R39,1)</f>
        <v>0.9</v>
      </c>
      <c r="S44" s="1839"/>
      <c r="T44" s="1832">
        <f>ROUND(T32+T39,1)</f>
        <v>0.6</v>
      </c>
      <c r="U44" s="1839"/>
      <c r="V44" s="1832">
        <f>ROUND(V32+V39,1)</f>
        <v>0.4</v>
      </c>
      <c r="W44" s="1839"/>
      <c r="X44" s="1832">
        <f>ROUND(X32+X39,1)</f>
        <v>0</v>
      </c>
      <c r="Y44" s="1825"/>
      <c r="Z44" s="1826"/>
      <c r="AA44" s="1832">
        <f>ROUND(AA32+AA39,1)</f>
        <v>9</v>
      </c>
      <c r="AB44" s="13"/>
      <c r="AC44" s="683"/>
      <c r="AD44" s="1832">
        <f>ROUND(AD32+AD39,1)</f>
        <v>6.3</v>
      </c>
      <c r="AE44" s="26"/>
      <c r="AF44" s="97"/>
      <c r="AG44" s="1834">
        <f>ROUND(SUM(AG32+AG39),1)</f>
        <v>2.7</v>
      </c>
      <c r="AH44" s="301"/>
      <c r="AI44" s="1840">
        <f>ROUND(IF(AD44=0,1,AG44/ABS(AD44)),3)</f>
        <v>0.42899999999999999</v>
      </c>
      <c r="AJ44" s="1810"/>
      <c r="AK44" s="1810"/>
    </row>
    <row r="45" spans="1:37" s="3" customFormat="1">
      <c r="B45" s="26"/>
      <c r="C45" s="13"/>
      <c r="D45" s="26"/>
      <c r="E45" s="18"/>
      <c r="F45" s="26"/>
      <c r="G45" s="18"/>
      <c r="H45" s="26"/>
      <c r="I45" s="1839"/>
      <c r="J45" s="26"/>
      <c r="K45" s="18"/>
      <c r="L45" s="26"/>
      <c r="M45" s="26"/>
      <c r="N45" s="26"/>
      <c r="O45" s="26"/>
      <c r="P45" s="26"/>
      <c r="Q45" s="26"/>
      <c r="R45" s="26"/>
      <c r="S45" s="1839"/>
      <c r="T45" s="26"/>
      <c r="U45" s="1839"/>
      <c r="V45" s="26"/>
      <c r="W45" s="1839"/>
      <c r="X45" s="26"/>
      <c r="Y45" s="1825"/>
      <c r="Z45" s="1826"/>
      <c r="AA45" s="26"/>
      <c r="AB45" s="13"/>
      <c r="AC45" s="683"/>
      <c r="AD45" s="26"/>
      <c r="AE45" s="26"/>
      <c r="AF45" s="97"/>
      <c r="AG45" s="13"/>
      <c r="AH45" s="301"/>
      <c r="AI45" s="554"/>
      <c r="AJ45" s="1810"/>
      <c r="AK45" s="1810"/>
    </row>
    <row r="46" spans="1:37" ht="16" thickBot="1">
      <c r="A46" s="3" t="s">
        <v>441</v>
      </c>
      <c r="B46" s="1841">
        <f>ROUND(SUM(B14,B44),1)</f>
        <v>60.8</v>
      </c>
      <c r="C46" s="20"/>
      <c r="D46" s="1841">
        <f>ROUND(SUM(D14,D44),1)</f>
        <v>61.6</v>
      </c>
      <c r="E46" s="20"/>
      <c r="F46" s="1841">
        <f>ROUND(SUM(F14,F44),1)</f>
        <v>62.4</v>
      </c>
      <c r="G46" s="20"/>
      <c r="H46" s="20">
        <f>ROUND(SUM(H14,H44),1)</f>
        <v>63.2</v>
      </c>
      <c r="I46" s="1811"/>
      <c r="J46" s="20">
        <f>ROUND(SUM(J14,J44),1)</f>
        <v>64.7</v>
      </c>
      <c r="K46" s="20"/>
      <c r="L46" s="20">
        <f>ROUND(SUM(L14,L44),1)</f>
        <v>64.900000000000006</v>
      </c>
      <c r="M46" s="20"/>
      <c r="N46" s="20">
        <f>ROUND(SUM(N14,N44),1)</f>
        <v>66.3</v>
      </c>
      <c r="O46" s="20"/>
      <c r="P46" s="20">
        <f>ROUND(SUM(P14,P44),1)</f>
        <v>67.099999999999994</v>
      </c>
      <c r="Q46" s="20"/>
      <c r="R46" s="20">
        <f>ROUND(SUM(R14,R44),1)</f>
        <v>68</v>
      </c>
      <c r="S46" s="1811"/>
      <c r="T46" s="20">
        <f>ROUND(SUM(T14,T44),1)</f>
        <v>68.599999999999994</v>
      </c>
      <c r="U46" s="1811"/>
      <c r="V46" s="20">
        <f>ROUND(SUM(V14,V44),1)</f>
        <v>69</v>
      </c>
      <c r="W46" s="1811"/>
      <c r="X46" s="20">
        <f>ROUND(SUM(X14,X44),1)</f>
        <v>0</v>
      </c>
      <c r="Y46" s="1812"/>
      <c r="Z46" s="1813"/>
      <c r="AA46" s="20">
        <f>ROUND(SUM(AA14,AA44),1)</f>
        <v>69</v>
      </c>
      <c r="AB46" s="20"/>
      <c r="AC46" s="1138"/>
      <c r="AD46" s="1615">
        <f>ROUND(SUM(AD14,AD44),1)</f>
        <v>59.4</v>
      </c>
      <c r="AE46" s="20"/>
      <c r="AF46" s="414"/>
      <c r="AG46" s="1615">
        <f>ROUND(SUM(AA46-AD46),1)</f>
        <v>9.6</v>
      </c>
      <c r="AH46" s="390"/>
      <c r="AI46" s="1842">
        <f>ROUND(IF(AG46=0,0,AG46/ABS(AD46)),3)</f>
        <v>0.16200000000000001</v>
      </c>
      <c r="AJ46" s="1712"/>
      <c r="AK46" s="1712"/>
    </row>
    <row r="47" spans="1:37" ht="16" thickTop="1">
      <c r="A47" s="301" t="s">
        <v>103</v>
      </c>
      <c r="B47" s="1843"/>
      <c r="C47" s="278"/>
      <c r="D47" s="1843"/>
      <c r="E47" s="278"/>
      <c r="F47" s="1843"/>
      <c r="G47" s="278"/>
      <c r="H47" s="1843"/>
      <c r="I47" s="278"/>
      <c r="J47" s="1843"/>
      <c r="K47" s="278"/>
      <c r="L47" s="1843"/>
      <c r="M47" s="278"/>
      <c r="N47" s="1843"/>
      <c r="O47" s="278"/>
      <c r="P47" s="1843"/>
      <c r="Q47" s="278"/>
      <c r="R47" s="1843"/>
      <c r="S47" s="278"/>
      <c r="T47" s="1843"/>
      <c r="U47" s="278"/>
      <c r="V47" s="1843"/>
      <c r="W47" s="278"/>
      <c r="X47" s="1843"/>
      <c r="Y47" s="278"/>
      <c r="Z47" s="278"/>
      <c r="AA47" s="1844"/>
      <c r="AB47" s="278"/>
      <c r="AC47" s="278"/>
      <c r="AD47" s="278"/>
      <c r="AE47" s="278"/>
      <c r="AF47" s="278"/>
    </row>
    <row r="48" spans="1:37">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4"/>
      <c r="AB48" s="278"/>
      <c r="AC48" s="278"/>
      <c r="AD48" s="278"/>
      <c r="AE48" s="278"/>
      <c r="AF48" s="278"/>
    </row>
    <row r="49" spans="1:32">
      <c r="A49" s="360"/>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4"/>
      <c r="AB49" s="278"/>
      <c r="AC49" s="278"/>
      <c r="AD49" s="278"/>
      <c r="AE49" s="278"/>
      <c r="AF49" s="278"/>
    </row>
    <row r="51" spans="1:32">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row>
    <row r="52" spans="1:32">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row>
    <row r="53" spans="1:32">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row>
    <row r="54" spans="1:32">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row>
  </sheetData>
  <mergeCells count="1">
    <mergeCell ref="Z10:AI10"/>
  </mergeCells>
  <printOptions horizontalCentered="1"/>
  <pageMargins left="0.25" right="0.25" top="0.5" bottom="0.25" header="0" footer="0.25"/>
  <pageSetup scale="45" firstPageNumber="38"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85" zoomScaleNormal="80" workbookViewId="0"/>
  </sheetViews>
  <sheetFormatPr defaultColWidth="8.69140625" defaultRowHeight="12.5"/>
  <cols>
    <col min="1" max="1" width="38.4609375" style="1390" customWidth="1"/>
    <col min="2" max="2" width="6.69140625" style="1390" customWidth="1"/>
    <col min="3" max="3" width="4.07421875" style="1390" customWidth="1"/>
    <col min="4" max="4" width="13.4609375" style="1390" customWidth="1"/>
    <col min="5" max="5" width="1.07421875" style="1390" customWidth="1"/>
    <col min="6" max="6" width="13.4609375" style="1390" customWidth="1"/>
    <col min="7" max="7" width="1.07421875" style="1390" customWidth="1"/>
    <col min="8" max="8" width="13.4609375" style="1485" customWidth="1"/>
    <col min="9" max="9" width="1.07421875" style="1390" customWidth="1"/>
    <col min="10" max="10" width="13.4609375" style="1390" customWidth="1"/>
    <col min="11" max="11" width="1.07421875" style="1390" customWidth="1"/>
    <col min="12" max="12" width="13.4609375" style="1390" customWidth="1"/>
    <col min="13" max="13" width="1.07421875" style="1390" customWidth="1"/>
    <col min="14" max="14" width="13.4609375" style="1390" customWidth="1"/>
    <col min="15" max="17" width="1.07421875" style="1390" customWidth="1"/>
    <col min="18" max="18" width="13.4609375" style="1390" customWidth="1"/>
    <col min="19" max="19" width="1.07421875" style="1390" customWidth="1"/>
    <col min="20" max="20" width="13.4609375" style="1390" customWidth="1"/>
    <col min="21" max="21" width="1.07421875" style="1390" customWidth="1"/>
    <col min="22" max="22" width="0.69140625" style="1390" customWidth="1"/>
    <col min="23" max="24" width="1.07421875" style="1390" customWidth="1"/>
    <col min="25" max="25" width="13.4609375" style="1390" customWidth="1"/>
    <col min="26" max="26" width="1.07421875" style="1390" customWidth="1"/>
    <col min="27" max="27" width="13.4609375" style="1390" customWidth="1"/>
    <col min="28" max="28" width="1.69140625" style="1390" customWidth="1"/>
    <col min="29" max="29" width="1.07421875" style="1390" customWidth="1"/>
    <col min="30" max="30" width="13.4609375" style="1390" customWidth="1"/>
    <col min="31" max="31" width="1.07421875" style="1390" customWidth="1"/>
    <col min="32" max="32" width="13.4609375" style="1390" customWidth="1"/>
    <col min="33" max="33" width="8.69140625" style="1390"/>
    <col min="34" max="34" width="8.69140625" style="1558"/>
    <col min="35" max="16384" width="8.69140625" style="1390"/>
  </cols>
  <sheetData>
    <row r="1" spans="1:33" ht="15.5">
      <c r="A1" s="294" t="s">
        <v>97</v>
      </c>
    </row>
    <row r="2" spans="1:33" ht="15" customHeight="1">
      <c r="A2" s="294"/>
    </row>
    <row r="3" spans="1:33" ht="21" customHeight="1">
      <c r="A3" s="2110" t="s">
        <v>98</v>
      </c>
      <c r="B3" s="2111"/>
      <c r="C3" s="2111"/>
      <c r="D3" s="2111"/>
      <c r="E3" s="2111"/>
      <c r="F3" s="2111"/>
      <c r="G3" s="2111"/>
      <c r="H3" s="2111"/>
      <c r="I3" s="2111"/>
      <c r="J3" s="2111"/>
      <c r="K3" s="2111"/>
      <c r="L3" s="2111"/>
      <c r="M3" s="2111"/>
      <c r="N3" s="2111"/>
      <c r="O3" s="2111"/>
      <c r="P3" s="2111"/>
      <c r="Q3" s="2111"/>
      <c r="R3" s="2111"/>
      <c r="S3" s="2111"/>
      <c r="T3" s="2111"/>
      <c r="U3" s="2111"/>
      <c r="V3" s="2111"/>
      <c r="W3" s="2111"/>
      <c r="X3" s="2111"/>
      <c r="Y3" s="2111"/>
      <c r="Z3" s="2111"/>
      <c r="AA3" s="2111"/>
      <c r="AB3" s="2111"/>
      <c r="AC3" s="276"/>
      <c r="AF3" s="1487" t="s">
        <v>155</v>
      </c>
    </row>
    <row r="4" spans="1:33" ht="20">
      <c r="A4" s="2112" t="s">
        <v>156</v>
      </c>
      <c r="B4" s="2111"/>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76"/>
      <c r="AF4" s="1487" t="s">
        <v>157</v>
      </c>
    </row>
    <row r="5" spans="1:33" ht="21" customHeight="1">
      <c r="A5" s="2112" t="s">
        <v>158</v>
      </c>
      <c r="B5" s="2111"/>
      <c r="C5" s="2111"/>
      <c r="D5" s="2111"/>
      <c r="E5" s="2111"/>
      <c r="F5" s="2111"/>
      <c r="G5" s="2111"/>
      <c r="H5" s="2111"/>
      <c r="I5" s="2111"/>
      <c r="J5" s="2111"/>
      <c r="K5" s="2111"/>
      <c r="L5" s="2111"/>
      <c r="M5" s="2111"/>
      <c r="N5" s="2111"/>
      <c r="O5" s="2111"/>
      <c r="P5" s="2111"/>
      <c r="Q5" s="2111"/>
      <c r="R5" s="2111"/>
      <c r="S5" s="2111"/>
      <c r="T5" s="2111"/>
      <c r="U5" s="2111"/>
      <c r="V5" s="2111"/>
      <c r="W5" s="2111"/>
      <c r="X5" s="2111"/>
      <c r="Y5" s="2111"/>
      <c r="Z5" s="2111"/>
      <c r="AA5" s="2111"/>
      <c r="AB5" s="2111"/>
      <c r="AC5" s="276"/>
    </row>
    <row r="6" spans="1:33" ht="21" customHeight="1">
      <c r="A6" s="1488" t="s">
        <v>102</v>
      </c>
      <c r="B6" s="1486"/>
      <c r="C6" s="1486"/>
      <c r="D6" s="1486"/>
      <c r="E6" s="1486"/>
      <c r="F6" s="1486"/>
      <c r="G6" s="1486"/>
      <c r="H6" s="1486"/>
      <c r="I6" s="1486"/>
      <c r="J6" s="1486"/>
      <c r="K6" s="1486"/>
      <c r="L6" s="1486"/>
      <c r="M6" s="1486"/>
      <c r="N6" s="1486"/>
      <c r="O6" s="1486"/>
      <c r="P6" s="1486"/>
      <c r="Q6" s="1486"/>
      <c r="R6" s="1486"/>
      <c r="S6" s="1486"/>
      <c r="T6" s="1486"/>
      <c r="U6" s="1486"/>
      <c r="V6" s="1486"/>
      <c r="W6" s="1486"/>
      <c r="X6" s="1486"/>
      <c r="Y6" s="1486"/>
      <c r="Z6" s="1486"/>
      <c r="AA6" s="1486"/>
      <c r="AB6" s="1486"/>
      <c r="AC6" s="276"/>
    </row>
    <row r="7" spans="1:33" ht="15.75" customHeight="1">
      <c r="A7" s="2112"/>
      <c r="B7" s="2111"/>
      <c r="C7" s="2111"/>
      <c r="D7" s="2111"/>
      <c r="E7" s="2111"/>
      <c r="F7" s="2111"/>
      <c r="G7" s="2111"/>
      <c r="H7" s="2111"/>
      <c r="I7" s="2111"/>
      <c r="J7" s="2111"/>
      <c r="K7" s="2111"/>
      <c r="L7" s="2111"/>
      <c r="M7" s="2111"/>
      <c r="N7" s="2111"/>
      <c r="O7" s="2111"/>
      <c r="P7" s="2111"/>
      <c r="Q7" s="2111"/>
      <c r="R7" s="2111"/>
      <c r="S7" s="2111"/>
      <c r="T7" s="2111"/>
      <c r="U7" s="2111"/>
      <c r="V7" s="2111"/>
      <c r="W7" s="2111"/>
      <c r="X7" s="2111"/>
      <c r="Y7" s="2111"/>
      <c r="Z7" s="2111"/>
      <c r="AA7" s="2111"/>
      <c r="AB7" s="2111"/>
      <c r="AC7" s="276"/>
    </row>
    <row r="8" spans="1:33" ht="15.75" customHeight="1">
      <c r="A8" s="1489"/>
      <c r="B8" s="1489"/>
      <c r="C8" s="1489"/>
      <c r="D8" s="1489"/>
      <c r="E8" s="1489"/>
      <c r="F8" s="1489"/>
      <c r="G8" s="1489"/>
      <c r="H8" s="1490"/>
      <c r="I8" s="1491"/>
      <c r="J8" s="1491"/>
      <c r="K8" s="1491"/>
      <c r="L8" s="1491"/>
      <c r="M8" s="1489"/>
      <c r="N8" s="1491"/>
      <c r="O8" s="1491"/>
      <c r="P8" s="1491"/>
      <c r="Q8" s="1491"/>
      <c r="R8" s="1491"/>
      <c r="S8" s="1491"/>
      <c r="T8" s="1491"/>
      <c r="U8" s="1491"/>
      <c r="V8" s="1491"/>
      <c r="W8" s="1491"/>
      <c r="X8" s="1491"/>
      <c r="Y8" s="1492"/>
      <c r="Z8" s="1492"/>
      <c r="AA8" s="1487"/>
      <c r="AB8" s="1492"/>
      <c r="AC8" s="1493"/>
    </row>
    <row r="9" spans="1:33" ht="15.75" customHeight="1">
      <c r="A9" s="1489"/>
      <c r="B9" s="1489"/>
      <c r="C9" s="1489"/>
      <c r="D9" s="1489"/>
      <c r="E9" s="1489"/>
      <c r="F9" s="1489"/>
      <c r="G9" s="1489"/>
      <c r="H9" s="1490"/>
      <c r="I9" s="1491"/>
      <c r="J9" s="1491"/>
      <c r="K9" s="1491"/>
      <c r="L9" s="1491"/>
      <c r="M9" s="1489"/>
      <c r="N9" s="1491"/>
      <c r="O9" s="1491"/>
      <c r="P9" s="1491"/>
      <c r="Q9" s="1491"/>
      <c r="R9" s="1491"/>
      <c r="X9" s="1491"/>
      <c r="Y9" s="1492"/>
      <c r="Z9" s="1492"/>
      <c r="AA9" s="1487"/>
      <c r="AB9" s="1492"/>
      <c r="AC9" s="1493"/>
    </row>
    <row r="10" spans="1:33" ht="16.399999999999999" customHeight="1">
      <c r="A10" s="1489"/>
      <c r="B10" s="1489"/>
      <c r="C10" s="1489"/>
      <c r="D10" s="2107"/>
      <c r="E10" s="2108"/>
      <c r="F10" s="2108"/>
      <c r="G10" s="2108"/>
      <c r="H10" s="2108"/>
      <c r="I10" s="2108"/>
      <c r="J10" s="2108"/>
      <c r="K10" s="2108"/>
      <c r="L10" s="2108"/>
      <c r="M10" s="2108"/>
      <c r="N10" s="2108"/>
      <c r="O10" s="1491"/>
      <c r="P10" s="1495"/>
      <c r="Q10" s="1491"/>
      <c r="R10" s="2107"/>
      <c r="S10" s="2107"/>
      <c r="T10" s="2107"/>
      <c r="U10" s="2107"/>
      <c r="V10" s="2107"/>
      <c r="W10" s="2107"/>
      <c r="X10" s="2107"/>
      <c r="Y10" s="2107"/>
      <c r="Z10" s="2107"/>
      <c r="AA10" s="2107"/>
      <c r="AB10" s="2107"/>
      <c r="AC10" s="1496"/>
    </row>
    <row r="11" spans="1:33" ht="16.399999999999999" customHeight="1">
      <c r="A11" s="1342"/>
      <c r="B11" s="1342"/>
      <c r="C11" s="1342"/>
      <c r="D11" s="1497" t="s">
        <v>104</v>
      </c>
      <c r="E11" s="1497"/>
      <c r="F11" s="1497"/>
      <c r="G11" s="1343"/>
      <c r="H11" s="1498" t="s">
        <v>159</v>
      </c>
      <c r="I11" s="1497"/>
      <c r="J11" s="1497"/>
      <c r="L11" s="2109" t="s">
        <v>106</v>
      </c>
      <c r="M11" s="2109"/>
      <c r="N11" s="2109"/>
      <c r="O11" s="1494"/>
      <c r="P11" s="1494"/>
      <c r="Q11" s="1494"/>
      <c r="R11" s="1499" t="s">
        <v>160</v>
      </c>
      <c r="S11" s="1499"/>
      <c r="T11" s="1499"/>
      <c r="U11" s="1499"/>
      <c r="V11" s="1499"/>
      <c r="W11" s="1499"/>
      <c r="X11" s="1499"/>
      <c r="Y11" s="1499"/>
      <c r="Z11" s="1499"/>
      <c r="AA11" s="1499"/>
      <c r="AB11" s="1499"/>
      <c r="AC11" s="1500"/>
      <c r="AD11" s="1501"/>
      <c r="AE11" s="1501"/>
      <c r="AF11" s="1501"/>
    </row>
    <row r="12" spans="1:33" ht="15.75" customHeight="1">
      <c r="A12" s="1342"/>
      <c r="B12" s="1342"/>
      <c r="C12" s="1342"/>
      <c r="D12" s="1494" t="s">
        <v>109</v>
      </c>
      <c r="E12" s="1494"/>
      <c r="F12" s="1346" t="str">
        <f>'Exhibit A'!F11</f>
        <v>11 MOS. ENDED</v>
      </c>
      <c r="G12" s="1494"/>
      <c r="H12" s="1494" t="s">
        <v>109</v>
      </c>
      <c r="I12" s="1494"/>
      <c r="J12" s="1494" t="str">
        <f>F12</f>
        <v>11 MOS. ENDED</v>
      </c>
      <c r="K12" s="1494"/>
      <c r="L12" s="1494" t="s">
        <v>109</v>
      </c>
      <c r="M12" s="1494"/>
      <c r="N12" s="1494" t="str">
        <f>F12</f>
        <v>11 MOS. ENDED</v>
      </c>
      <c r="O12" s="1494"/>
      <c r="P12" s="1502"/>
      <c r="Q12" s="1494"/>
      <c r="R12" s="1494" t="s">
        <v>109</v>
      </c>
      <c r="S12" s="1494"/>
      <c r="T12" s="1494" t="str">
        <f>F12</f>
        <v>11 MOS. ENDED</v>
      </c>
      <c r="U12" s="1494"/>
      <c r="V12" s="1494"/>
      <c r="W12" s="1494"/>
      <c r="X12" s="1494"/>
      <c r="Y12" s="1494" t="s">
        <v>109</v>
      </c>
      <c r="Z12" s="1494"/>
      <c r="AA12" s="1494" t="str">
        <f>'Exhibit A'!AD11</f>
        <v>11 MOS. ENDED</v>
      </c>
      <c r="AB12" s="1494"/>
      <c r="AC12" s="1503"/>
      <c r="AD12" s="1494" t="s">
        <v>110</v>
      </c>
      <c r="AE12" s="294"/>
      <c r="AF12" s="1494" t="s">
        <v>111</v>
      </c>
    </row>
    <row r="13" spans="1:33" ht="16.399999999999999" customHeight="1">
      <c r="A13" s="1342"/>
      <c r="B13" s="1342"/>
      <c r="C13" s="1342"/>
      <c r="D13" s="1504" t="str">
        <f>'Exhibit A'!D12</f>
        <v>FEB. 2025</v>
      </c>
      <c r="E13" s="1494"/>
      <c r="F13" s="1504" t="str">
        <f>'Exhibit A'!F12</f>
        <v>FEB. 28, 2025</v>
      </c>
      <c r="G13" s="1494"/>
      <c r="H13" s="1499" t="str">
        <f>D13</f>
        <v>FEB. 2025</v>
      </c>
      <c r="I13" s="1494"/>
      <c r="J13" s="1499" t="str">
        <f>F13</f>
        <v>FEB. 28, 2025</v>
      </c>
      <c r="K13" s="1494"/>
      <c r="L13" s="1499" t="str">
        <f>D13</f>
        <v>FEB. 2025</v>
      </c>
      <c r="M13" s="1494"/>
      <c r="N13" s="1499" t="str">
        <f>F13</f>
        <v>FEB. 28, 2025</v>
      </c>
      <c r="O13" s="1494"/>
      <c r="P13" s="1502"/>
      <c r="Q13" s="1494"/>
      <c r="R13" s="1499" t="str">
        <f>D13</f>
        <v>FEB. 2025</v>
      </c>
      <c r="S13" s="1494"/>
      <c r="T13" s="1499" t="str">
        <f>F13</f>
        <v>FEB. 28, 2025</v>
      </c>
      <c r="U13" s="1494"/>
      <c r="V13" s="1494"/>
      <c r="W13" s="1494"/>
      <c r="X13" s="1494"/>
      <c r="Y13" s="1504" t="str">
        <f>'Exhibit A'!AB12</f>
        <v>FEB. 2024</v>
      </c>
      <c r="Z13" s="1494"/>
      <c r="AA13" s="1504" t="str">
        <f>'Exhibit A'!AD12</f>
        <v>FEB. 29, 2024</v>
      </c>
      <c r="AB13" s="1494"/>
      <c r="AC13" s="1503"/>
      <c r="AD13" s="1499" t="s">
        <v>112</v>
      </c>
      <c r="AE13" s="294"/>
      <c r="AF13" s="1504" t="s">
        <v>113</v>
      </c>
    </row>
    <row r="14" spans="1:33" ht="16.399999999999999" customHeight="1">
      <c r="A14" s="1343" t="s">
        <v>114</v>
      </c>
      <c r="B14" s="1342"/>
      <c r="C14" s="1342"/>
      <c r="D14" s="1505" t="s">
        <v>103</v>
      </c>
      <c r="E14" s="1342"/>
      <c r="F14" s="1342"/>
      <c r="G14" s="1342"/>
      <c r="H14" s="1342" t="s">
        <v>103</v>
      </c>
      <c r="I14" s="1342"/>
      <c r="J14" s="1342"/>
      <c r="K14" s="1342"/>
      <c r="L14" s="1342" t="s">
        <v>103</v>
      </c>
      <c r="M14" s="1342"/>
      <c r="N14" s="1342"/>
      <c r="O14" s="1342"/>
      <c r="P14" s="1569"/>
      <c r="Q14" s="1506"/>
      <c r="R14" s="1342"/>
      <c r="S14" s="1342"/>
      <c r="T14" s="1342"/>
      <c r="U14" s="1342"/>
      <c r="V14" s="1342"/>
      <c r="W14" s="1507"/>
      <c r="X14" s="1342"/>
      <c r="Y14" s="1342"/>
      <c r="Z14" s="1342"/>
      <c r="AA14" s="1342"/>
      <c r="AB14" s="1342"/>
      <c r="AC14" s="1508"/>
      <c r="AD14" s="1342"/>
      <c r="AF14" s="294"/>
    </row>
    <row r="15" spans="1:33" ht="18" customHeight="1">
      <c r="A15" s="1342" t="s">
        <v>161</v>
      </c>
      <c r="B15" s="1509" t="s">
        <v>1561</v>
      </c>
      <c r="C15" s="1342"/>
      <c r="D15" s="1381">
        <f>+'Exhibit A'!D14</f>
        <v>3114.3</v>
      </c>
      <c r="E15" s="1381" t="s">
        <v>103</v>
      </c>
      <c r="F15" s="1381">
        <f>+'Exhibit A'!F14</f>
        <v>26591.599999999999</v>
      </c>
      <c r="G15" s="1381"/>
      <c r="H15" s="2042">
        <f>+'Exhibit G State'!X17</f>
        <v>0</v>
      </c>
      <c r="I15" s="1381"/>
      <c r="J15" s="1510">
        <f>'Exhibit G State'!AC17</f>
        <v>1444.1</v>
      </c>
      <c r="K15" s="1381"/>
      <c r="L15" s="1511">
        <f>+'Exhibit A'!L14</f>
        <v>3114.4000000000015</v>
      </c>
      <c r="M15" s="1381"/>
      <c r="N15" s="1381">
        <f>+'Exhibit A'!N14</f>
        <v>28035.7</v>
      </c>
      <c r="O15" s="1381"/>
      <c r="P15" s="1570"/>
      <c r="Q15" s="1512"/>
      <c r="R15" s="1381">
        <f t="shared" ref="R15:R20" si="0">ROUND(SUM(D15+H15+L15),1)</f>
        <v>6228.7</v>
      </c>
      <c r="S15" s="1381"/>
      <c r="T15" s="1511">
        <f t="shared" ref="T15:T20" si="1">ROUND(SUM(F15+J15+N15),1)</f>
        <v>56071.4</v>
      </c>
      <c r="U15" s="1381"/>
      <c r="V15" s="1381"/>
      <c r="W15" s="1513"/>
      <c r="X15" s="1381"/>
      <c r="Y15" s="1381">
        <v>5009.6000000000004</v>
      </c>
      <c r="Z15" s="1381" t="s">
        <v>103</v>
      </c>
      <c r="AA15" s="1381">
        <f>'Exhibit F'!AF27+'Exhibit G State'!AF17+'Exhibit H'!AD17</f>
        <v>49514.8</v>
      </c>
      <c r="AB15" s="1514"/>
      <c r="AC15" s="1515"/>
      <c r="AD15" s="1381">
        <f t="shared" ref="AD15:AD20" si="2">ROUND(SUM(T15-AA15),1)</f>
        <v>6556.6</v>
      </c>
      <c r="AE15" s="1516"/>
      <c r="AF15" s="276">
        <f>ROUND(+AD15/AA15,3)</f>
        <v>0.13200000000000001</v>
      </c>
      <c r="AG15" s="1557"/>
    </row>
    <row r="16" spans="1:33" ht="18" customHeight="1">
      <c r="A16" s="1342" t="s">
        <v>116</v>
      </c>
      <c r="B16" s="1517" t="s">
        <v>103</v>
      </c>
      <c r="C16" s="1342"/>
      <c r="D16" s="263">
        <f>+'Exhibit A'!D15</f>
        <v>717.4</v>
      </c>
      <c r="E16" s="263"/>
      <c r="F16" s="263">
        <f>+'Exhibit A'!F15</f>
        <v>9201.7999999999993</v>
      </c>
      <c r="G16" s="263"/>
      <c r="H16" s="732">
        <f>+'Exhibit G State'!X29</f>
        <v>138.1</v>
      </c>
      <c r="I16" s="263"/>
      <c r="J16" s="1518">
        <f>'Exhibit G State'!AC29</f>
        <v>2012.6</v>
      </c>
      <c r="K16" s="263"/>
      <c r="L16" s="263">
        <f>+'Exhibit A'!L15</f>
        <v>686.8</v>
      </c>
      <c r="M16" s="263"/>
      <c r="N16" s="263">
        <f>+'Exhibit A'!N15</f>
        <v>8688.6</v>
      </c>
      <c r="O16" s="263"/>
      <c r="P16" s="1571"/>
      <c r="Q16" s="1519"/>
      <c r="R16" s="263">
        <f t="shared" si="0"/>
        <v>1542.3</v>
      </c>
      <c r="S16" s="263"/>
      <c r="T16" s="542">
        <f t="shared" si="1"/>
        <v>19903</v>
      </c>
      <c r="U16" s="263"/>
      <c r="V16" s="263"/>
      <c r="W16" s="1520"/>
      <c r="X16" s="263"/>
      <c r="Y16" s="263">
        <v>1488.7</v>
      </c>
      <c r="Z16" s="263" t="s">
        <v>103</v>
      </c>
      <c r="AA16" s="263">
        <f>'Exhibit F'!AF38+'Exhibit G State'!AF29+'Exhibit H'!AD21</f>
        <v>19408.5</v>
      </c>
      <c r="AB16" s="1342"/>
      <c r="AC16" s="1508"/>
      <c r="AD16" s="263">
        <f t="shared" si="2"/>
        <v>494.5</v>
      </c>
      <c r="AF16" s="276">
        <f t="shared" ref="AF16:AF21" si="3">ROUND(+AD16/AA16,3)</f>
        <v>2.5000000000000001E-2</v>
      </c>
      <c r="AG16" s="1557"/>
    </row>
    <row r="17" spans="1:33" ht="18" customHeight="1">
      <c r="A17" s="1342" t="s">
        <v>117</v>
      </c>
      <c r="B17" s="1521"/>
      <c r="C17" s="1342"/>
      <c r="D17" s="263">
        <f>+'Exhibit A'!D16</f>
        <v>87.4</v>
      </c>
      <c r="E17" s="263"/>
      <c r="F17" s="263">
        <f>+'Exhibit A'!F16</f>
        <v>12830.1</v>
      </c>
      <c r="G17" s="263"/>
      <c r="H17" s="732">
        <f>+'Exhibit G State'!X36</f>
        <v>22.1</v>
      </c>
      <c r="I17" s="263"/>
      <c r="J17" s="1518">
        <f>'Exhibit G State'!AC36</f>
        <v>2222</v>
      </c>
      <c r="K17" s="263"/>
      <c r="L17" s="263">
        <f>+'Exhibit A'!L16</f>
        <v>86.2</v>
      </c>
      <c r="M17" s="263"/>
      <c r="N17" s="263">
        <f>+'Exhibit A'!N16</f>
        <v>5760.1</v>
      </c>
      <c r="O17" s="1522"/>
      <c r="P17" s="1572"/>
      <c r="Q17" s="1523"/>
      <c r="R17" s="263">
        <f t="shared" si="0"/>
        <v>195.7</v>
      </c>
      <c r="S17" s="263"/>
      <c r="T17" s="542">
        <f t="shared" si="1"/>
        <v>20812.2</v>
      </c>
      <c r="U17" s="263"/>
      <c r="V17" s="263"/>
      <c r="W17" s="1524"/>
      <c r="X17" s="1522"/>
      <c r="Y17" s="263">
        <v>140.5</v>
      </c>
      <c r="Z17" s="263" t="s">
        <v>103</v>
      </c>
      <c r="AA17" s="263">
        <f>'Exhibit F'!AF46+'Exhibit G State'!AF36+'Exhibit H'!AD23</f>
        <v>19256.5</v>
      </c>
      <c r="AB17" s="1342"/>
      <c r="AC17" s="1508"/>
      <c r="AD17" s="263">
        <f t="shared" si="2"/>
        <v>1555.7</v>
      </c>
      <c r="AF17" s="276">
        <f t="shared" si="3"/>
        <v>8.1000000000000003E-2</v>
      </c>
      <c r="AG17" s="1557"/>
    </row>
    <row r="18" spans="1:33" ht="18" customHeight="1">
      <c r="A18" s="1342" t="s">
        <v>118</v>
      </c>
      <c r="B18" s="1517" t="s">
        <v>103</v>
      </c>
      <c r="C18" s="1342"/>
      <c r="D18" s="263">
        <f>+'Exhibit A'!D17</f>
        <v>95.6</v>
      </c>
      <c r="E18" s="263"/>
      <c r="F18" s="263">
        <f>+'Exhibit A'!F17</f>
        <v>1232.0999999999999</v>
      </c>
      <c r="G18" s="263"/>
      <c r="H18" s="732">
        <v>0</v>
      </c>
      <c r="I18" s="263"/>
      <c r="J18" s="1518">
        <v>0</v>
      </c>
      <c r="K18" s="263"/>
      <c r="L18" s="263">
        <f>+'Exhibit A'!L17</f>
        <v>80.099999999999994</v>
      </c>
      <c r="M18" s="263"/>
      <c r="N18" s="263">
        <f>+'Exhibit A'!N17</f>
        <v>937.4</v>
      </c>
      <c r="O18" s="263"/>
      <c r="P18" s="1571"/>
      <c r="Q18" s="1519"/>
      <c r="R18" s="263">
        <f t="shared" si="0"/>
        <v>175.7</v>
      </c>
      <c r="S18" s="263"/>
      <c r="T18" s="542">
        <f t="shared" si="1"/>
        <v>2169.5</v>
      </c>
      <c r="U18" s="263"/>
      <c r="V18" s="263"/>
      <c r="W18" s="1520"/>
      <c r="X18" s="263"/>
      <c r="Y18" s="263">
        <v>155.9</v>
      </c>
      <c r="Z18" s="263" t="s">
        <v>103</v>
      </c>
      <c r="AA18" s="263">
        <f>'Exhibit F'!AF54+'Exhibit H'!AD28</f>
        <v>2678.1</v>
      </c>
      <c r="AB18" s="1342"/>
      <c r="AC18" s="1508"/>
      <c r="AD18" s="263">
        <f t="shared" si="2"/>
        <v>-508.6</v>
      </c>
      <c r="AF18" s="276">
        <f t="shared" si="3"/>
        <v>-0.19</v>
      </c>
      <c r="AG18" s="1557"/>
    </row>
    <row r="19" spans="1:33" ht="18" customHeight="1">
      <c r="A19" s="1342" t="s">
        <v>119</v>
      </c>
      <c r="B19" s="1517" t="s">
        <v>103</v>
      </c>
      <c r="C19" s="1342"/>
      <c r="D19" s="263">
        <f>+'Exhibit A'!D18</f>
        <v>297.8</v>
      </c>
      <c r="E19" s="263"/>
      <c r="F19" s="263">
        <f>+'Exhibit A'!F18</f>
        <v>4193.8999999999996</v>
      </c>
      <c r="G19" s="263"/>
      <c r="H19" s="732">
        <f>+'Exhibit G State'!X82</f>
        <v>2116.3000000000002</v>
      </c>
      <c r="I19" s="263"/>
      <c r="J19" s="1518">
        <f>'Exhibit G State'!AC82</f>
        <v>20926</v>
      </c>
      <c r="K19" s="263"/>
      <c r="L19" s="263">
        <f>+'Exhibit A'!L18</f>
        <v>39</v>
      </c>
      <c r="M19" s="263"/>
      <c r="N19" s="263">
        <f>+'Exhibit A'!N18</f>
        <v>521.4</v>
      </c>
      <c r="O19" s="263"/>
      <c r="P19" s="1571"/>
      <c r="Q19" s="1519"/>
      <c r="R19" s="263">
        <f t="shared" si="0"/>
        <v>2453.1</v>
      </c>
      <c r="S19" s="263"/>
      <c r="T19" s="542">
        <f t="shared" si="1"/>
        <v>25641.3</v>
      </c>
      <c r="U19" s="263"/>
      <c r="V19" s="263"/>
      <c r="W19" s="1520"/>
      <c r="X19" s="263"/>
      <c r="Y19" s="263">
        <v>2670.5</v>
      </c>
      <c r="Z19" s="263" t="s">
        <v>103</v>
      </c>
      <c r="AA19" s="263">
        <f>+'Exhibit F'!AF97+'Exhibit G State'!AF82+'Exhibit H'!AD51</f>
        <v>24734.800000000003</v>
      </c>
      <c r="AB19" s="1342"/>
      <c r="AC19" s="1508"/>
      <c r="AD19" s="263">
        <f t="shared" si="2"/>
        <v>906.5</v>
      </c>
      <c r="AF19" s="276">
        <f t="shared" si="3"/>
        <v>3.6999999999999998E-2</v>
      </c>
      <c r="AG19" s="1557"/>
    </row>
    <row r="20" spans="1:33" ht="18" customHeight="1">
      <c r="A20" s="1342" t="s">
        <v>120</v>
      </c>
      <c r="B20" s="1509" t="s">
        <v>1569</v>
      </c>
      <c r="C20" s="1342"/>
      <c r="D20" s="263">
        <f>+'Exhibit A'!D19</f>
        <v>0.20000000000027285</v>
      </c>
      <c r="E20" s="263"/>
      <c r="F20" s="263">
        <f>+'Exhibit A'!F19</f>
        <v>3649.9</v>
      </c>
      <c r="G20" s="263"/>
      <c r="H20" s="732">
        <f>+'Exhibit G State'!X84</f>
        <v>-11.5</v>
      </c>
      <c r="I20" s="263"/>
      <c r="J20" s="1518">
        <f>'Exhibit G State'!AC84</f>
        <v>-12</v>
      </c>
      <c r="K20" s="263"/>
      <c r="L20" s="263">
        <f>+'Exhibit A'!L19</f>
        <v>1.3999999999999986</v>
      </c>
      <c r="M20" s="1522"/>
      <c r="N20" s="263">
        <f>+'Exhibit A'!N19</f>
        <v>43.6</v>
      </c>
      <c r="O20" s="1522"/>
      <c r="P20" s="1572"/>
      <c r="Q20" s="1523"/>
      <c r="R20" s="1522">
        <f t="shared" si="0"/>
        <v>-9.9</v>
      </c>
      <c r="S20" s="1522"/>
      <c r="T20" s="542">
        <f t="shared" si="1"/>
        <v>3681.5</v>
      </c>
      <c r="U20" s="263"/>
      <c r="V20" s="263"/>
      <c r="W20" s="1524"/>
      <c r="X20" s="1522"/>
      <c r="Y20" s="263">
        <v>-12.4</v>
      </c>
      <c r="Z20" s="263" t="s">
        <v>103</v>
      </c>
      <c r="AA20" s="263">
        <f>+'Exhibit F'!AF99+'Exhibit G State'!AF84+'Exhibit H'!AD53</f>
        <v>24.8</v>
      </c>
      <c r="AB20" s="1342"/>
      <c r="AC20" s="1508"/>
      <c r="AD20" s="263">
        <f t="shared" si="2"/>
        <v>3656.7</v>
      </c>
      <c r="AF20" s="553">
        <f>ROUND(IF(AA20=0,1,AD20/ABS(AA20)),3)</f>
        <v>147.44800000000001</v>
      </c>
      <c r="AG20" s="1557"/>
    </row>
    <row r="21" spans="1:33" ht="18" customHeight="1">
      <c r="A21" s="1343" t="s">
        <v>121</v>
      </c>
      <c r="B21" s="1342"/>
      <c r="C21" s="1342"/>
      <c r="D21" s="1525">
        <f>ROUND(SUM(D15:D20),1)</f>
        <v>4312.7</v>
      </c>
      <c r="E21" s="1"/>
      <c r="F21" s="2051">
        <f>ROUND(SUM(F15:F20),1)</f>
        <v>57699.4</v>
      </c>
      <c r="G21" s="1"/>
      <c r="H21" s="1525">
        <f>ROUND(SUM(H15:H20),1)</f>
        <v>2265</v>
      </c>
      <c r="I21" s="1"/>
      <c r="J21" s="1525">
        <f>ROUND(SUM(J15:J20),1)</f>
        <v>26592.7</v>
      </c>
      <c r="K21" s="1"/>
      <c r="L21" s="1525">
        <f>ROUND(SUM(L15:L20),1)</f>
        <v>4007.9</v>
      </c>
      <c r="M21" s="1"/>
      <c r="N21" s="1525">
        <f>ROUND(SUM(N15:N20),1)</f>
        <v>43986.8</v>
      </c>
      <c r="O21" s="1"/>
      <c r="P21" s="1539"/>
      <c r="Q21" s="1527"/>
      <c r="R21" s="1525">
        <f>ROUND(SUM(R15:R20),1)</f>
        <v>10585.6</v>
      </c>
      <c r="S21" s="1"/>
      <c r="T21" s="1525">
        <f>ROUND(SUM(T15:T20),1)</f>
        <v>128278.9</v>
      </c>
      <c r="U21" s="1"/>
      <c r="V21" s="1"/>
      <c r="W21" s="1528"/>
      <c r="X21" s="1"/>
      <c r="Y21" s="1525">
        <f>ROUND(SUM(Y15:Y20),1)</f>
        <v>9452.7999999999993</v>
      </c>
      <c r="Z21" s="1"/>
      <c r="AA21" s="1525">
        <f>ROUND(SUM(AA15:AA20),1)</f>
        <v>115617.5</v>
      </c>
      <c r="AB21" s="1343"/>
      <c r="AC21" s="1529"/>
      <c r="AD21" s="1525">
        <f>ROUND(SUM(AD15:AD20),1)</f>
        <v>12661.4</v>
      </c>
      <c r="AE21" s="1475"/>
      <c r="AF21" s="1530">
        <f t="shared" si="3"/>
        <v>0.11</v>
      </c>
      <c r="AG21" s="1557"/>
    </row>
    <row r="22" spans="1:33" ht="16.399999999999999" customHeight="1">
      <c r="A22" s="1343"/>
      <c r="B22" s="1342"/>
      <c r="C22" s="1342"/>
      <c r="D22" s="263"/>
      <c r="E22" s="263"/>
      <c r="F22" s="263"/>
      <c r="G22" s="263"/>
      <c r="H22" s="263"/>
      <c r="I22" s="263"/>
      <c r="J22" s="263"/>
      <c r="K22" s="263"/>
      <c r="L22" s="263"/>
      <c r="M22" s="263"/>
      <c r="N22" s="263"/>
      <c r="O22" s="263"/>
      <c r="P22" s="1571"/>
      <c r="Q22" s="1519"/>
      <c r="R22" s="263"/>
      <c r="S22" s="263"/>
      <c r="T22" s="263"/>
      <c r="U22" s="263"/>
      <c r="V22" s="263"/>
      <c r="W22" s="1520"/>
      <c r="X22" s="263"/>
      <c r="Y22" s="263"/>
      <c r="Z22" s="263"/>
      <c r="AA22" s="263"/>
      <c r="AB22" s="1342"/>
      <c r="AC22" s="1508"/>
      <c r="AD22" s="263"/>
      <c r="AF22" s="294"/>
      <c r="AG22" s="1557"/>
    </row>
    <row r="23" spans="1:33" ht="16.399999999999999" customHeight="1">
      <c r="A23" s="1343" t="s">
        <v>122</v>
      </c>
      <c r="B23" s="1342"/>
      <c r="C23" s="1342"/>
      <c r="D23" s="263"/>
      <c r="E23" s="263"/>
      <c r="F23" s="263"/>
      <c r="G23" s="263"/>
      <c r="H23" s="263"/>
      <c r="I23" s="263"/>
      <c r="J23" s="263"/>
      <c r="K23" s="263"/>
      <c r="L23" s="263"/>
      <c r="M23" s="263"/>
      <c r="N23" s="263"/>
      <c r="O23" s="263"/>
      <c r="P23" s="1571"/>
      <c r="Q23" s="1519"/>
      <c r="R23" s="263"/>
      <c r="S23" s="263"/>
      <c r="T23" s="263"/>
      <c r="U23" s="263"/>
      <c r="V23" s="263"/>
      <c r="W23" s="1520"/>
      <c r="X23" s="263"/>
      <c r="Y23" s="263"/>
      <c r="Z23" s="263"/>
      <c r="AA23" s="263"/>
      <c r="AB23" s="1342"/>
      <c r="AC23" s="1508"/>
      <c r="AD23" s="263"/>
      <c r="AF23" s="294"/>
      <c r="AG23" s="1557"/>
    </row>
    <row r="24" spans="1:33" ht="16.399999999999999" customHeight="1">
      <c r="A24" s="1342" t="s">
        <v>123</v>
      </c>
      <c r="B24" s="1505" t="s">
        <v>103</v>
      </c>
      <c r="C24" s="1342"/>
      <c r="D24" s="265"/>
      <c r="E24" s="1522"/>
      <c r="F24" s="265"/>
      <c r="G24" s="263"/>
      <c r="H24" s="265"/>
      <c r="I24" s="1522"/>
      <c r="J24" s="265"/>
      <c r="K24" s="263"/>
      <c r="L24" s="265"/>
      <c r="M24" s="263"/>
      <c r="N24" s="1522"/>
      <c r="O24" s="263"/>
      <c r="P24" s="1571"/>
      <c r="Q24" s="1519"/>
      <c r="R24" s="1522"/>
      <c r="S24" s="1522"/>
      <c r="T24" s="1522"/>
      <c r="U24" s="263"/>
      <c r="V24" s="263"/>
      <c r="W24" s="1520"/>
      <c r="X24" s="1522"/>
      <c r="Y24" s="263"/>
      <c r="Z24" s="263"/>
      <c r="AA24" s="263"/>
      <c r="AB24" s="1342"/>
      <c r="AC24" s="1508"/>
      <c r="AD24" s="265"/>
      <c r="AF24" s="1347"/>
      <c r="AG24" s="1557"/>
    </row>
    <row r="25" spans="1:33" ht="18" customHeight="1">
      <c r="A25" s="1531" t="s">
        <v>124</v>
      </c>
      <c r="B25" s="1342"/>
      <c r="C25" s="1342"/>
      <c r="D25" s="523">
        <f>+'Exhibit A'!D24</f>
        <v>1681.2000000000007</v>
      </c>
      <c r="E25" s="263"/>
      <c r="F25" s="523">
        <f>+'Exhibit A'!F24</f>
        <v>24198.3</v>
      </c>
      <c r="G25" s="263"/>
      <c r="H25" s="523">
        <f>+'Exhibit G State'!X90</f>
        <v>164.50000000000091</v>
      </c>
      <c r="I25" s="263"/>
      <c r="J25" s="523">
        <f>+'Exhibit G State'!AC90</f>
        <v>6228.8</v>
      </c>
      <c r="K25" s="263"/>
      <c r="L25" s="265">
        <f>+'Exhibit A'!L24</f>
        <v>0</v>
      </c>
      <c r="M25" s="263"/>
      <c r="N25" s="1522">
        <f>+'Exhibit A'!N24</f>
        <v>0</v>
      </c>
      <c r="O25" s="1522"/>
      <c r="P25" s="1572"/>
      <c r="Q25" s="1523"/>
      <c r="R25" s="542">
        <f>ROUND(SUM(D25+H25+L25),1)</f>
        <v>1845.7</v>
      </c>
      <c r="S25" s="542"/>
      <c r="T25" s="542">
        <f>ROUND(SUM(F25+J25+N25),1)</f>
        <v>30427.1</v>
      </c>
      <c r="U25" s="263"/>
      <c r="V25" s="263"/>
      <c r="W25" s="1524"/>
      <c r="X25" s="1522"/>
      <c r="Y25" s="263">
        <v>1828.2</v>
      </c>
      <c r="Z25" s="263" t="s">
        <v>103</v>
      </c>
      <c r="AA25" s="263">
        <f>+'Exhibit F'!AF105+'Exhibit G State'!AF90</f>
        <v>28917.599999999999</v>
      </c>
      <c r="AB25" s="1342"/>
      <c r="AC25" s="1508"/>
      <c r="AD25" s="263">
        <f>ROUND(SUM(T25-AA25),1)</f>
        <v>1509.5</v>
      </c>
      <c r="AF25" s="276">
        <f>ROUND(+AD25/AA25,3)</f>
        <v>5.1999999999999998E-2</v>
      </c>
      <c r="AG25" s="1557"/>
    </row>
    <row r="26" spans="1:33" ht="18" customHeight="1">
      <c r="A26" s="1531" t="s">
        <v>125</v>
      </c>
      <c r="B26" s="1505"/>
      <c r="C26" s="1342"/>
      <c r="D26" s="523">
        <f>+'Exhibit A'!D25</f>
        <v>0.39999999999999947</v>
      </c>
      <c r="E26" s="263"/>
      <c r="F26" s="523">
        <f>+'Exhibit A'!F25</f>
        <v>4.5999999999999996</v>
      </c>
      <c r="G26" s="263"/>
      <c r="H26" s="523">
        <f>+'Exhibit G State'!X91</f>
        <v>9.9999999999999645E-2</v>
      </c>
      <c r="I26" s="542"/>
      <c r="J26" s="523">
        <f>+'Exhibit G State'!AC91</f>
        <v>5.8</v>
      </c>
      <c r="K26" s="263"/>
      <c r="L26" s="265">
        <f>+'Exhibit A'!L25</f>
        <v>0</v>
      </c>
      <c r="M26" s="263"/>
      <c r="N26" s="1522">
        <f>+'Exhibit A'!N25</f>
        <v>0</v>
      </c>
      <c r="O26" s="1522"/>
      <c r="P26" s="1572"/>
      <c r="Q26" s="1523"/>
      <c r="R26" s="542">
        <f t="shared" ref="R26:R33" si="4">ROUND(SUM(D26+H26+L26),1)</f>
        <v>0.5</v>
      </c>
      <c r="S26" s="542"/>
      <c r="T26" s="542">
        <f t="shared" ref="T26:T33" si="5">ROUND(SUM(F26+J26+N26),1)</f>
        <v>10.4</v>
      </c>
      <c r="U26" s="263"/>
      <c r="V26" s="263"/>
      <c r="W26" s="1524"/>
      <c r="X26" s="1522"/>
      <c r="Y26" s="263">
        <v>0.2</v>
      </c>
      <c r="Z26" s="263" t="s">
        <v>103</v>
      </c>
      <c r="AA26" s="263">
        <f>+'Exhibit F'!AF106+'Exhibit G State'!AF91</f>
        <v>7.6999999999999993</v>
      </c>
      <c r="AB26" s="1342"/>
      <c r="AC26" s="1508"/>
      <c r="AD26" s="263">
        <f>ROUND(SUM(T26-AA26),1)</f>
        <v>2.7</v>
      </c>
      <c r="AF26" s="553">
        <f>ROUND(IF(AA26=0,1,AD26/ABS(AA26)),3)</f>
        <v>0.35099999999999998</v>
      </c>
      <c r="AG26" s="1557"/>
    </row>
    <row r="27" spans="1:33" ht="18" customHeight="1">
      <c r="A27" s="1531" t="s">
        <v>126</v>
      </c>
      <c r="B27" s="1348"/>
      <c r="C27" s="1342"/>
      <c r="D27" s="523">
        <f>+'Exhibit A'!D26</f>
        <v>38.5</v>
      </c>
      <c r="E27" s="263"/>
      <c r="F27" s="523">
        <f>+'Exhibit A'!F26</f>
        <v>1062.5</v>
      </c>
      <c r="G27" s="263"/>
      <c r="H27" s="523">
        <f>+'Exhibit G State'!X92</f>
        <v>17</v>
      </c>
      <c r="I27" s="263"/>
      <c r="J27" s="523">
        <f>+'Exhibit G State'!AC92</f>
        <v>221.6</v>
      </c>
      <c r="K27" s="263"/>
      <c r="L27" s="265">
        <f>+'Exhibit A'!L26</f>
        <v>0</v>
      </c>
      <c r="M27" s="263"/>
      <c r="N27" s="1522">
        <f>+'Exhibit A'!N26</f>
        <v>0</v>
      </c>
      <c r="O27" s="1522"/>
      <c r="P27" s="1572"/>
      <c r="Q27" s="1523"/>
      <c r="R27" s="542">
        <f t="shared" si="4"/>
        <v>55.5</v>
      </c>
      <c r="S27" s="542"/>
      <c r="T27" s="542">
        <f t="shared" si="5"/>
        <v>1284.0999999999999</v>
      </c>
      <c r="U27" s="263"/>
      <c r="V27" s="263"/>
      <c r="W27" s="1524"/>
      <c r="X27" s="1522"/>
      <c r="Y27" s="263">
        <v>48.1</v>
      </c>
      <c r="Z27" s="263" t="s">
        <v>103</v>
      </c>
      <c r="AA27" s="263">
        <f>+'Exhibit F'!AF107+'Exhibit G State'!AF92</f>
        <v>1236.2</v>
      </c>
      <c r="AB27" s="1342"/>
      <c r="AC27" s="1508"/>
      <c r="AD27" s="263">
        <f>ROUND(SUM(T27-AA27),1)</f>
        <v>47.9</v>
      </c>
      <c r="AF27" s="276">
        <f>ROUND(+AD27/AA27,3)</f>
        <v>3.9E-2</v>
      </c>
      <c r="AG27" s="1557"/>
    </row>
    <row r="28" spans="1:33" ht="18" customHeight="1">
      <c r="A28" s="1531" t="s">
        <v>127</v>
      </c>
      <c r="B28" s="1348"/>
      <c r="C28" s="1342"/>
      <c r="D28" s="523"/>
      <c r="E28" s="263"/>
      <c r="F28" s="523"/>
      <c r="G28" s="263"/>
      <c r="H28" s="523"/>
      <c r="I28" s="263"/>
      <c r="J28" s="523"/>
      <c r="K28" s="263"/>
      <c r="L28" s="265"/>
      <c r="M28" s="263"/>
      <c r="N28" s="1522"/>
      <c r="O28" s="1522"/>
      <c r="P28" s="1572"/>
      <c r="Q28" s="1523"/>
      <c r="R28" s="542" t="s">
        <v>103</v>
      </c>
      <c r="S28" s="542"/>
      <c r="T28" s="542" t="s">
        <v>103</v>
      </c>
      <c r="U28" s="263"/>
      <c r="V28" s="263"/>
      <c r="W28" s="1524"/>
      <c r="X28" s="1522"/>
      <c r="Y28" s="263"/>
      <c r="Z28" s="263" t="s">
        <v>103</v>
      </c>
      <c r="AA28" s="263" t="s">
        <v>103</v>
      </c>
      <c r="AB28" s="1342"/>
      <c r="AC28" s="1508"/>
      <c r="AD28" s="263"/>
      <c r="AF28" s="276"/>
      <c r="AG28" s="1557"/>
    </row>
    <row r="29" spans="1:33" ht="18" customHeight="1">
      <c r="A29" s="1532" t="s">
        <v>128</v>
      </c>
      <c r="B29" s="1509"/>
      <c r="C29" s="1342"/>
      <c r="D29" s="523">
        <f>+'Exhibit A'!D28</f>
        <v>1821.4000000000015</v>
      </c>
      <c r="E29" s="263"/>
      <c r="F29" s="523">
        <f>+'Exhibit A'!F28</f>
        <v>27151.5</v>
      </c>
      <c r="G29" s="263"/>
      <c r="H29" s="523">
        <f>+'Exhibit G State'!X94</f>
        <v>562.10000000000036</v>
      </c>
      <c r="I29" s="263"/>
      <c r="J29" s="523">
        <f>+'Exhibit G State'!AC94</f>
        <v>5572.1</v>
      </c>
      <c r="K29" s="263"/>
      <c r="L29" s="265">
        <f>+'Exhibit A'!L28</f>
        <v>0</v>
      </c>
      <c r="M29" s="263"/>
      <c r="N29" s="1522">
        <f>+'Exhibit A'!N28</f>
        <v>0</v>
      </c>
      <c r="O29" s="1522"/>
      <c r="P29" s="1572"/>
      <c r="Q29" s="1523"/>
      <c r="R29" s="542">
        <f t="shared" si="4"/>
        <v>2383.5</v>
      </c>
      <c r="S29" s="542"/>
      <c r="T29" s="542">
        <f t="shared" si="5"/>
        <v>32723.599999999999</v>
      </c>
      <c r="U29" s="263"/>
      <c r="V29" s="263"/>
      <c r="W29" s="1524"/>
      <c r="X29" s="1522"/>
      <c r="Y29" s="263">
        <v>2397.4</v>
      </c>
      <c r="Z29" s="263" t="s">
        <v>103</v>
      </c>
      <c r="AA29" s="263">
        <f>+'Exhibit F'!AF109+'Exhibit G State'!AF94</f>
        <v>29806.199999999997</v>
      </c>
      <c r="AB29" s="1342"/>
      <c r="AC29" s="1508"/>
      <c r="AD29" s="263">
        <f t="shared" ref="AD29:AD34" si="6">ROUND(SUM(T29-AA29),1)</f>
        <v>2917.4</v>
      </c>
      <c r="AF29" s="276">
        <f t="shared" ref="AF29:AF34" si="7">ROUND(+AD29/AA29,3)</f>
        <v>9.8000000000000004E-2</v>
      </c>
      <c r="AG29" s="1557"/>
    </row>
    <row r="30" spans="1:33" ht="18" customHeight="1">
      <c r="A30" s="1531" t="s">
        <v>129</v>
      </c>
      <c r="B30" s="1348"/>
      <c r="C30" s="1342"/>
      <c r="D30" s="523">
        <f>+'Exhibit A'!D29</f>
        <v>239.5</v>
      </c>
      <c r="E30" s="263"/>
      <c r="F30" s="523">
        <f>+'Exhibit A'!F29</f>
        <v>2780.8</v>
      </c>
      <c r="G30" s="263"/>
      <c r="H30" s="523">
        <f>+'Exhibit G State'!X95</f>
        <v>91.800000000000182</v>
      </c>
      <c r="I30" s="263"/>
      <c r="J30" s="523">
        <f>+'Exhibit G State'!AC95</f>
        <v>1781.1000000000001</v>
      </c>
      <c r="K30" s="263"/>
      <c r="L30" s="265">
        <f>+'Exhibit A'!L29</f>
        <v>0</v>
      </c>
      <c r="M30" s="263"/>
      <c r="N30" s="1522">
        <f>+'Exhibit A'!N29</f>
        <v>0</v>
      </c>
      <c r="O30" s="1522"/>
      <c r="P30" s="1572"/>
      <c r="Q30" s="1523"/>
      <c r="R30" s="542">
        <f t="shared" si="4"/>
        <v>331.3</v>
      </c>
      <c r="S30" s="542"/>
      <c r="T30" s="542">
        <f t="shared" si="5"/>
        <v>4561.8999999999996</v>
      </c>
      <c r="U30" s="263"/>
      <c r="V30" s="263"/>
      <c r="W30" s="1524"/>
      <c r="X30" s="1522"/>
      <c r="Y30" s="263">
        <v>316.79999999999995</v>
      </c>
      <c r="Z30" s="263" t="s">
        <v>103</v>
      </c>
      <c r="AA30" s="263">
        <f>+'Exhibit F'!AF110+'Exhibit G State'!AF95</f>
        <v>3681</v>
      </c>
      <c r="AB30" s="1342"/>
      <c r="AC30" s="1508"/>
      <c r="AD30" s="263">
        <f t="shared" si="6"/>
        <v>880.9</v>
      </c>
      <c r="AF30" s="276">
        <f t="shared" si="7"/>
        <v>0.23899999999999999</v>
      </c>
      <c r="AG30" s="1557"/>
    </row>
    <row r="31" spans="1:33" ht="18" customHeight="1">
      <c r="A31" s="1531" t="s">
        <v>130</v>
      </c>
      <c r="B31" s="1342"/>
      <c r="C31" s="1342"/>
      <c r="D31" s="523">
        <f>+'Exhibit A'!D30</f>
        <v>40.199999999999989</v>
      </c>
      <c r="E31" s="263"/>
      <c r="F31" s="523">
        <f>+'Exhibit A'!F30</f>
        <v>453.5</v>
      </c>
      <c r="G31" s="263"/>
      <c r="H31" s="523">
        <f>+'Exhibit G State'!X96</f>
        <v>67.900000000000034</v>
      </c>
      <c r="I31" s="263"/>
      <c r="J31" s="523">
        <f>+'Exhibit G State'!AC96</f>
        <v>403.7</v>
      </c>
      <c r="K31" s="263"/>
      <c r="L31" s="265">
        <f>+'Exhibit A'!L30</f>
        <v>0</v>
      </c>
      <c r="M31" s="263"/>
      <c r="N31" s="1522">
        <f>+'Exhibit A'!N30</f>
        <v>0</v>
      </c>
      <c r="O31" s="1522"/>
      <c r="P31" s="1572"/>
      <c r="Q31" s="1523"/>
      <c r="R31" s="542">
        <f t="shared" si="4"/>
        <v>108.1</v>
      </c>
      <c r="S31" s="542"/>
      <c r="T31" s="542">
        <f t="shared" si="5"/>
        <v>857.2</v>
      </c>
      <c r="U31" s="263"/>
      <c r="V31" s="263"/>
      <c r="W31" s="1524"/>
      <c r="X31" s="1522"/>
      <c r="Y31" s="263">
        <v>56.1</v>
      </c>
      <c r="Z31" s="263" t="s">
        <v>103</v>
      </c>
      <c r="AA31" s="263">
        <f>+'Exhibit F'!AF111+'Exhibit G State'!AF96</f>
        <v>581.20000000000005</v>
      </c>
      <c r="AB31" s="1342"/>
      <c r="AC31" s="1508"/>
      <c r="AD31" s="263">
        <f t="shared" si="6"/>
        <v>276</v>
      </c>
      <c r="AF31" s="276">
        <f t="shared" si="7"/>
        <v>0.47499999999999998</v>
      </c>
      <c r="AG31" s="1557"/>
    </row>
    <row r="32" spans="1:33" ht="18" customHeight="1">
      <c r="A32" s="1531" t="s">
        <v>131</v>
      </c>
      <c r="B32" s="1342"/>
      <c r="C32" s="1342"/>
      <c r="D32" s="523">
        <f>+'Exhibit A'!D31</f>
        <v>210.90000000000055</v>
      </c>
      <c r="E32" s="263"/>
      <c r="F32" s="523">
        <f>+'Exhibit A'!F31</f>
        <v>4575.1000000000004</v>
      </c>
      <c r="G32" s="263"/>
      <c r="H32" s="523">
        <f>+'Exhibit G State'!X97</f>
        <v>7.1999999999999993</v>
      </c>
      <c r="I32" s="263"/>
      <c r="J32" s="523">
        <f>+'Exhibit G State'!AC97</f>
        <v>22.4</v>
      </c>
      <c r="K32" s="263"/>
      <c r="L32" s="265">
        <f>+'Exhibit A'!L31</f>
        <v>0</v>
      </c>
      <c r="M32" s="263"/>
      <c r="N32" s="1522">
        <f>+'Exhibit A'!N31</f>
        <v>0</v>
      </c>
      <c r="O32" s="1522"/>
      <c r="P32" s="1572"/>
      <c r="Q32" s="1523"/>
      <c r="R32" s="542">
        <f t="shared" si="4"/>
        <v>218.1</v>
      </c>
      <c r="S32" s="542"/>
      <c r="T32" s="542">
        <f t="shared" si="5"/>
        <v>4597.5</v>
      </c>
      <c r="U32" s="263"/>
      <c r="V32" s="263"/>
      <c r="W32" s="1524"/>
      <c r="X32" s="1522"/>
      <c r="Y32" s="263">
        <v>737.7</v>
      </c>
      <c r="Z32" s="263" t="s">
        <v>103</v>
      </c>
      <c r="AA32" s="263">
        <f>+'Exhibit F'!AF112+'Exhibit G State'!AF97</f>
        <v>3928.6</v>
      </c>
      <c r="AB32" s="1342"/>
      <c r="AC32" s="1508"/>
      <c r="AD32" s="263">
        <f t="shared" si="6"/>
        <v>668.9</v>
      </c>
      <c r="AF32" s="276">
        <f t="shared" si="7"/>
        <v>0.17</v>
      </c>
      <c r="AG32" s="1557"/>
    </row>
    <row r="33" spans="1:33" ht="18" customHeight="1">
      <c r="A33" s="1531" t="s">
        <v>132</v>
      </c>
      <c r="B33" s="1342"/>
      <c r="C33" s="1342"/>
      <c r="D33" s="523">
        <f>+'Exhibit A'!D32</f>
        <v>18.299999999999983</v>
      </c>
      <c r="E33" s="263"/>
      <c r="F33" s="523">
        <f>+'Exhibit A'!F32</f>
        <v>215.7</v>
      </c>
      <c r="G33" s="263"/>
      <c r="H33" s="523">
        <f>+'Exhibit G State'!X98</f>
        <v>7.6000000000000014</v>
      </c>
      <c r="I33" s="263"/>
      <c r="J33" s="523">
        <f>+'Exhibit G State'!AC98</f>
        <v>62.6</v>
      </c>
      <c r="K33" s="263"/>
      <c r="L33" s="265">
        <f>+'Exhibit A'!L32</f>
        <v>0</v>
      </c>
      <c r="M33" s="263"/>
      <c r="N33" s="1522">
        <f>+'Exhibit A'!N32</f>
        <v>0</v>
      </c>
      <c r="O33" s="1522"/>
      <c r="P33" s="1572"/>
      <c r="Q33" s="1523"/>
      <c r="R33" s="542">
        <f t="shared" si="4"/>
        <v>25.9</v>
      </c>
      <c r="S33" s="542"/>
      <c r="T33" s="542">
        <f t="shared" si="5"/>
        <v>278.3</v>
      </c>
      <c r="U33" s="263"/>
      <c r="V33" s="263"/>
      <c r="W33" s="1524"/>
      <c r="X33" s="1522"/>
      <c r="Y33" s="263">
        <v>22.9</v>
      </c>
      <c r="Z33" s="263" t="s">
        <v>103</v>
      </c>
      <c r="AA33" s="263">
        <f>+'Exhibit F'!AF113+'Exhibit G State'!AF98</f>
        <v>247.3</v>
      </c>
      <c r="AB33" s="1342"/>
      <c r="AC33" s="1508"/>
      <c r="AD33" s="263">
        <f t="shared" si="6"/>
        <v>31</v>
      </c>
      <c r="AF33" s="276">
        <f t="shared" si="7"/>
        <v>0.125</v>
      </c>
      <c r="AG33" s="1557"/>
    </row>
    <row r="34" spans="1:33" ht="18" customHeight="1">
      <c r="A34" s="1531" t="s">
        <v>133</v>
      </c>
      <c r="B34" s="1342"/>
      <c r="C34" s="1342"/>
      <c r="D34" s="523">
        <f>+'Exhibit A'!D33</f>
        <v>36.799999999999983</v>
      </c>
      <c r="E34" s="263"/>
      <c r="F34" s="523">
        <f>+'Exhibit A'!F33</f>
        <v>247.7</v>
      </c>
      <c r="G34" s="263"/>
      <c r="H34" s="523">
        <f>+'Exhibit G State'!X99</f>
        <v>130.80000000000018</v>
      </c>
      <c r="I34" s="263"/>
      <c r="J34" s="523">
        <f>+'Exhibit G State'!AC99</f>
        <v>4833.1000000000004</v>
      </c>
      <c r="K34" s="263"/>
      <c r="L34" s="265">
        <f>+'Exhibit A'!L33</f>
        <v>0</v>
      </c>
      <c r="M34" s="263"/>
      <c r="N34" s="1522">
        <f>+'Exhibit A'!N33</f>
        <v>0</v>
      </c>
      <c r="O34" s="1522"/>
      <c r="P34" s="1572"/>
      <c r="Q34" s="1523"/>
      <c r="R34" s="1012">
        <f>ROUND(SUM(D34+H34+L34),1)</f>
        <v>167.6</v>
      </c>
      <c r="S34" s="542"/>
      <c r="T34" s="1012">
        <f>ROUND(SUM(F34+J34+N34),1)</f>
        <v>5080.8</v>
      </c>
      <c r="U34" s="263"/>
      <c r="V34" s="263"/>
      <c r="W34" s="1524"/>
      <c r="X34" s="1522"/>
      <c r="Y34" s="263">
        <v>157.4</v>
      </c>
      <c r="Z34" s="263" t="s">
        <v>103</v>
      </c>
      <c r="AA34" s="263">
        <f>+'Exhibit F'!AF114+'Exhibit G State'!AF99</f>
        <v>5036.2</v>
      </c>
      <c r="AB34" s="1342"/>
      <c r="AC34" s="1508"/>
      <c r="AD34" s="263">
        <f t="shared" si="6"/>
        <v>44.6</v>
      </c>
      <c r="AF34" s="276">
        <f t="shared" si="7"/>
        <v>8.9999999999999993E-3</v>
      </c>
      <c r="AG34" s="1557"/>
    </row>
    <row r="35" spans="1:33" ht="18" customHeight="1">
      <c r="A35" s="1343" t="s">
        <v>134</v>
      </c>
      <c r="B35" s="1342"/>
      <c r="C35" s="1342"/>
      <c r="D35" s="1525">
        <f>ROUND(SUM(D25:D34),1)</f>
        <v>4087.2</v>
      </c>
      <c r="E35" s="1"/>
      <c r="F35" s="1525">
        <f>ROUND(SUM(F25:F34),1)</f>
        <v>60689.7</v>
      </c>
      <c r="G35" s="1"/>
      <c r="H35" s="1525">
        <f>ROUND(SUM(H25:H34),1)</f>
        <v>1049</v>
      </c>
      <c r="I35" s="1"/>
      <c r="J35" s="1525">
        <f>ROUND(SUM(J25:J34),1)</f>
        <v>19131.2</v>
      </c>
      <c r="K35" s="1"/>
      <c r="L35" s="1533">
        <f>ROUND(SUM(L25:L34),1)</f>
        <v>0</v>
      </c>
      <c r="M35" s="1"/>
      <c r="N35" s="2047">
        <f>ROUND(SUM(N25:N34),1)</f>
        <v>0</v>
      </c>
      <c r="O35" s="1534"/>
      <c r="P35" s="1573"/>
      <c r="Q35" s="1535"/>
      <c r="R35" s="1525">
        <f>ROUND(SUM(R25:R34),1)</f>
        <v>5136.2</v>
      </c>
      <c r="S35" s="1534"/>
      <c r="T35" s="1525">
        <f>ROUND(SUM(T25:T34),1)</f>
        <v>79820.899999999994</v>
      </c>
      <c r="U35" s="1"/>
      <c r="V35" s="1"/>
      <c r="W35" s="1536"/>
      <c r="X35" s="1534"/>
      <c r="Y35" s="1525">
        <f>ROUND(SUM(Y25:Y34),1)</f>
        <v>5564.8</v>
      </c>
      <c r="Z35" s="1"/>
      <c r="AA35" s="1525">
        <f>ROUND(SUM(AA25:AA34),1)</f>
        <v>73442</v>
      </c>
      <c r="AB35" s="1343"/>
      <c r="AC35" s="1529"/>
      <c r="AD35" s="1525">
        <f>ROUND(SUM(AD25:AD34),1)</f>
        <v>6378.9</v>
      </c>
      <c r="AE35" s="1475"/>
      <c r="AF35" s="1530">
        <f>ROUND(+AD35/AA35,3)</f>
        <v>8.6999999999999994E-2</v>
      </c>
      <c r="AG35" s="1557"/>
    </row>
    <row r="36" spans="1:33" ht="18" customHeight="1">
      <c r="A36" s="1342" t="s">
        <v>135</v>
      </c>
      <c r="B36" s="1348"/>
      <c r="C36" s="1342"/>
      <c r="D36" s="263"/>
      <c r="E36" s="263"/>
      <c r="F36" s="263"/>
      <c r="G36" s="263"/>
      <c r="H36" s="263"/>
      <c r="I36" s="263"/>
      <c r="J36" s="263"/>
      <c r="K36" s="263"/>
      <c r="L36" s="263"/>
      <c r="M36" s="263"/>
      <c r="N36" s="263"/>
      <c r="O36" s="263"/>
      <c r="P36" s="1571"/>
      <c r="Q36" s="1519"/>
      <c r="R36" s="263"/>
      <c r="S36" s="263"/>
      <c r="T36" s="263"/>
      <c r="U36" s="263"/>
      <c r="V36" s="263"/>
      <c r="W36" s="1520"/>
      <c r="X36" s="263"/>
      <c r="Y36" s="263"/>
      <c r="Z36" s="263"/>
      <c r="AA36" s="263"/>
      <c r="AB36" s="1342"/>
      <c r="AC36" s="1508"/>
      <c r="AD36" s="263"/>
      <c r="AF36" s="294"/>
      <c r="AG36" s="1557"/>
    </row>
    <row r="37" spans="1:33" ht="18" customHeight="1">
      <c r="A37" s="1342" t="s">
        <v>136</v>
      </c>
      <c r="B37" s="1505"/>
      <c r="C37" s="1342"/>
      <c r="D37" s="263">
        <f>+'Exhibit A'!D36</f>
        <v>823.20000000000073</v>
      </c>
      <c r="E37" s="263"/>
      <c r="F37" s="523">
        <f>+'Exhibit A'!F36</f>
        <v>9921.2000000000007</v>
      </c>
      <c r="G37" s="263"/>
      <c r="H37" s="263">
        <f>+'Exhibit G State'!X102</f>
        <v>480.80000000000109</v>
      </c>
      <c r="I37" s="263"/>
      <c r="J37" s="523">
        <f>+'Exhibit G State'!AC102</f>
        <v>5652.7000000000007</v>
      </c>
      <c r="K37" s="263"/>
      <c r="L37" s="1522">
        <f>+'Exhibit A'!L36</f>
        <v>0</v>
      </c>
      <c r="M37" s="542"/>
      <c r="N37" s="1522">
        <f>+'Exhibit A'!N36</f>
        <v>0</v>
      </c>
      <c r="O37" s="1522"/>
      <c r="P37" s="1572"/>
      <c r="Q37" s="1523"/>
      <c r="R37" s="542">
        <f>ROUND(SUM(D37+H37+L37),1)</f>
        <v>1304</v>
      </c>
      <c r="S37" s="1522"/>
      <c r="T37" s="263">
        <f>ROUND(SUM(F37+J37+N37),1)</f>
        <v>15573.9</v>
      </c>
      <c r="U37" s="263"/>
      <c r="V37" s="263"/>
      <c r="W37" s="1524"/>
      <c r="X37" s="1522"/>
      <c r="Y37" s="263">
        <v>1188.5999999999999</v>
      </c>
      <c r="Z37" s="263" t="s">
        <v>103</v>
      </c>
      <c r="AA37" s="263">
        <f>+'Exhibit F'!AF117+'Exhibit G State'!AF102</f>
        <v>14566.7</v>
      </c>
      <c r="AB37" s="1342"/>
      <c r="AC37" s="1508"/>
      <c r="AD37" s="263">
        <f t="shared" ref="AD37:AD41" si="8">ROUND(SUM(T37-AA37),1)</f>
        <v>1007.2</v>
      </c>
      <c r="AF37" s="276">
        <f>ROUND(+AD37/AA37,3)</f>
        <v>6.9000000000000006E-2</v>
      </c>
      <c r="AG37" s="1557"/>
    </row>
    <row r="38" spans="1:33" ht="18" customHeight="1">
      <c r="A38" s="1342" t="s">
        <v>137</v>
      </c>
      <c r="B38" s="1348"/>
      <c r="C38" s="1342"/>
      <c r="D38" s="263">
        <f>+'Exhibit A'!D37</f>
        <v>345</v>
      </c>
      <c r="E38" s="263"/>
      <c r="F38" s="523">
        <f>+'Exhibit A'!F37</f>
        <v>2479.1</v>
      </c>
      <c r="G38" s="263"/>
      <c r="H38" s="263">
        <f>+'Exhibit G State'!X103</f>
        <v>317.20000000000027</v>
      </c>
      <c r="I38" s="263"/>
      <c r="J38" s="523">
        <f>+'Exhibit G State'!AC103</f>
        <v>3396.7000000000003</v>
      </c>
      <c r="K38" s="263"/>
      <c r="L38" s="1522">
        <f>+'Exhibit A'!L37</f>
        <v>4</v>
      </c>
      <c r="M38" s="542"/>
      <c r="N38" s="1522">
        <f>+'Exhibit A'!N37</f>
        <v>33.1</v>
      </c>
      <c r="O38" s="263"/>
      <c r="P38" s="1571"/>
      <c r="Q38" s="1519"/>
      <c r="R38" s="542">
        <f>ROUND(SUM(D38+H38+L38),1)</f>
        <v>666.2</v>
      </c>
      <c r="S38" s="1522"/>
      <c r="T38" s="263">
        <f>ROUND(SUM(F38+J38+N38),1)</f>
        <v>5908.9</v>
      </c>
      <c r="U38" s="263"/>
      <c r="V38" s="263"/>
      <c r="W38" s="1520"/>
      <c r="X38" s="263"/>
      <c r="Y38" s="263">
        <v>678.7</v>
      </c>
      <c r="Z38" s="263" t="s">
        <v>103</v>
      </c>
      <c r="AA38" s="263">
        <f>+'Exhibit F'!AF118+'Exhibit G State'!AF103+'Exhibit H'!AD59</f>
        <v>5200</v>
      </c>
      <c r="AB38" s="1342"/>
      <c r="AC38" s="1508"/>
      <c r="AD38" s="263">
        <f t="shared" si="8"/>
        <v>708.9</v>
      </c>
      <c r="AF38" s="276">
        <f>ROUND(+AD38/AA38,3)</f>
        <v>0.13600000000000001</v>
      </c>
      <c r="AG38" s="1557"/>
    </row>
    <row r="39" spans="1:33" ht="18" customHeight="1">
      <c r="A39" s="1342" t="s">
        <v>138</v>
      </c>
      <c r="B39" s="1517"/>
      <c r="C39" s="1342"/>
      <c r="D39" s="263">
        <f>+'Exhibit A'!D38</f>
        <v>2005.3999999999996</v>
      </c>
      <c r="E39" s="263"/>
      <c r="F39" s="523">
        <f>+'Exhibit A'!F38</f>
        <v>7980</v>
      </c>
      <c r="G39" s="263"/>
      <c r="H39" s="263">
        <f>+'Exhibit G State'!X104</f>
        <v>76.899999999999977</v>
      </c>
      <c r="I39" s="263"/>
      <c r="J39" s="523">
        <f>+'Exhibit G State'!AC104</f>
        <v>1077.3</v>
      </c>
      <c r="K39" s="263"/>
      <c r="L39" s="1522">
        <f>+'Exhibit A'!L38</f>
        <v>0</v>
      </c>
      <c r="M39" s="263"/>
      <c r="N39" s="1522">
        <f>+'Exhibit A'!N38</f>
        <v>0</v>
      </c>
      <c r="O39" s="1522"/>
      <c r="P39" s="1572"/>
      <c r="Q39" s="1523"/>
      <c r="R39" s="542">
        <f>ROUND(SUM(D39+H39+L39),1)</f>
        <v>2082.3000000000002</v>
      </c>
      <c r="S39" s="1522"/>
      <c r="T39" s="263">
        <f>ROUND(SUM(F39+J39+N39),1)</f>
        <v>9057.2999999999993</v>
      </c>
      <c r="U39" s="263"/>
      <c r="V39" s="263"/>
      <c r="W39" s="1524"/>
      <c r="X39" s="1522"/>
      <c r="Y39" s="263">
        <v>1935.5</v>
      </c>
      <c r="Z39" s="263" t="s">
        <v>103</v>
      </c>
      <c r="AA39" s="263">
        <f>+'Exhibit F'!AF119+'Exhibit G State'!AF104</f>
        <v>9259.6999999999989</v>
      </c>
      <c r="AB39" s="1342"/>
      <c r="AC39" s="1508"/>
      <c r="AD39" s="263">
        <f t="shared" si="8"/>
        <v>-202.4</v>
      </c>
      <c r="AF39" s="276">
        <f>ROUND(+AD39/AA39,3)</f>
        <v>-2.1999999999999999E-2</v>
      </c>
      <c r="AG39" s="1557"/>
    </row>
    <row r="40" spans="1:33" ht="18" customHeight="1">
      <c r="A40" s="1342" t="s">
        <v>139</v>
      </c>
      <c r="B40" s="1342"/>
      <c r="C40" s="1342"/>
      <c r="D40" s="263"/>
      <c r="E40" s="263"/>
      <c r="F40" s="263"/>
      <c r="G40" s="263"/>
      <c r="H40" s="263"/>
      <c r="I40" s="263"/>
      <c r="J40" s="263"/>
      <c r="K40" s="263"/>
      <c r="L40" s="263"/>
      <c r="M40" s="263"/>
      <c r="N40" s="263"/>
      <c r="O40" s="263"/>
      <c r="P40" s="1571"/>
      <c r="Q40" s="1519"/>
      <c r="R40" s="542" t="s">
        <v>103</v>
      </c>
      <c r="S40" s="263"/>
      <c r="T40" s="263" t="s">
        <v>103</v>
      </c>
      <c r="U40" s="263"/>
      <c r="V40" s="263"/>
      <c r="W40" s="1520"/>
      <c r="X40" s="263"/>
      <c r="Y40" s="263" t="s">
        <v>103</v>
      </c>
      <c r="Z40" s="263"/>
      <c r="AA40" s="263" t="s">
        <v>103</v>
      </c>
      <c r="AB40" s="1342"/>
      <c r="AC40" s="1508"/>
      <c r="AD40" s="263"/>
      <c r="AF40" s="276"/>
      <c r="AG40" s="1557"/>
    </row>
    <row r="41" spans="1:33" ht="18" customHeight="1">
      <c r="A41" s="1342" t="s">
        <v>1518</v>
      </c>
      <c r="B41" s="1505"/>
      <c r="C41" s="1342"/>
      <c r="D41" s="1522">
        <v>0</v>
      </c>
      <c r="E41" s="263"/>
      <c r="F41" s="1522">
        <v>0</v>
      </c>
      <c r="G41" s="263"/>
      <c r="H41" s="1522">
        <v>0</v>
      </c>
      <c r="I41" s="263"/>
      <c r="J41" s="1522">
        <v>0</v>
      </c>
      <c r="K41" s="263"/>
      <c r="L41" s="1522">
        <f>+'Exhibit A'!L40</f>
        <v>127.10000000000002</v>
      </c>
      <c r="M41" s="542"/>
      <c r="N41" s="1522">
        <f>+'Exhibit A'!N40</f>
        <v>481.8</v>
      </c>
      <c r="O41" s="263"/>
      <c r="P41" s="1571"/>
      <c r="Q41" s="1519"/>
      <c r="R41" s="542">
        <f>ROUND(SUM(D41+H41+L41),1)</f>
        <v>127.1</v>
      </c>
      <c r="S41" s="263"/>
      <c r="T41" s="263">
        <f>ROUND(SUM(F41+J41+N41),1)</f>
        <v>481.8</v>
      </c>
      <c r="U41" s="263"/>
      <c r="V41" s="263"/>
      <c r="W41" s="1520"/>
      <c r="X41" s="263"/>
      <c r="Y41" s="263">
        <v>279</v>
      </c>
      <c r="Z41" s="263" t="s">
        <v>103</v>
      </c>
      <c r="AA41" s="263">
        <f>+'Exhibit H'!AD61</f>
        <v>869</v>
      </c>
      <c r="AB41" s="1342"/>
      <c r="AC41" s="1508"/>
      <c r="AD41" s="263">
        <f t="shared" si="8"/>
        <v>-387.2</v>
      </c>
      <c r="AF41" s="276">
        <f>ROUND(+AD41/AA41,3)</f>
        <v>-0.44600000000000001</v>
      </c>
      <c r="AG41" s="1557"/>
    </row>
    <row r="42" spans="1:33" ht="18" customHeight="1">
      <c r="A42" s="1342" t="s">
        <v>140</v>
      </c>
      <c r="B42" s="1505"/>
      <c r="C42" s="1342"/>
      <c r="D42" s="1522">
        <v>0</v>
      </c>
      <c r="E42" s="263"/>
      <c r="F42" s="1522">
        <v>0</v>
      </c>
      <c r="G42" s="263"/>
      <c r="H42" s="1522">
        <f>'Exhibit G State'!X105</f>
        <v>0</v>
      </c>
      <c r="I42" s="263"/>
      <c r="J42" s="1522">
        <f>'Exhibit G State'!AC105</f>
        <v>0</v>
      </c>
      <c r="K42" s="263"/>
      <c r="L42" s="1522">
        <v>0</v>
      </c>
      <c r="M42" s="542"/>
      <c r="N42" s="1522">
        <v>0</v>
      </c>
      <c r="O42" s="263"/>
      <c r="P42" s="1571"/>
      <c r="Q42" s="1519"/>
      <c r="R42" s="542">
        <f>ROUND(SUM(D42+H42+L42),1)</f>
        <v>0</v>
      </c>
      <c r="S42" s="263"/>
      <c r="T42" s="263">
        <f>ROUND(SUM(F42+J42+N42),1)</f>
        <v>0</v>
      </c>
      <c r="U42" s="263"/>
      <c r="V42" s="263"/>
      <c r="W42" s="1520"/>
      <c r="X42" s="263"/>
      <c r="Y42" s="263">
        <v>0</v>
      </c>
      <c r="Z42" s="263"/>
      <c r="AA42" s="263">
        <f>'Exhibit G State'!AF105</f>
        <v>0</v>
      </c>
      <c r="AB42" s="1342"/>
      <c r="AC42" s="1508"/>
      <c r="AD42" s="263">
        <f>ROUND(SUM(T42-AA42),1)</f>
        <v>0</v>
      </c>
      <c r="AF42" s="276">
        <f>IF(AA42=0,0,AD42/AA42)</f>
        <v>0</v>
      </c>
      <c r="AG42" s="1557"/>
    </row>
    <row r="43" spans="1:33" ht="18" customHeight="1">
      <c r="A43" s="1343" t="s">
        <v>162</v>
      </c>
      <c r="B43" s="1342"/>
      <c r="C43" s="1342"/>
      <c r="D43" s="1525">
        <f>SUM(D35:D42)</f>
        <v>7260.8</v>
      </c>
      <c r="E43" s="1"/>
      <c r="F43" s="1525">
        <f>SUM(F35:F42)</f>
        <v>81070</v>
      </c>
      <c r="G43" s="1"/>
      <c r="H43" s="1525">
        <f>SUM(H35:H42)</f>
        <v>1923.9000000000015</v>
      </c>
      <c r="I43" s="1"/>
      <c r="J43" s="1525">
        <f>SUM(J35:J42)</f>
        <v>29257.9</v>
      </c>
      <c r="K43" s="1"/>
      <c r="L43" s="1525">
        <f>SUM(L35:L42)</f>
        <v>131.10000000000002</v>
      </c>
      <c r="M43" s="1"/>
      <c r="N43" s="1525">
        <f>SUM(N35:N42)</f>
        <v>514.9</v>
      </c>
      <c r="O43" s="1"/>
      <c r="P43" s="1539"/>
      <c r="Q43" s="1527"/>
      <c r="R43" s="1525">
        <f>ROUND(SUM(R35:R42),1)</f>
        <v>9315.7999999999993</v>
      </c>
      <c r="S43" s="1"/>
      <c r="T43" s="1525">
        <f>ROUND(SUM(T35:T42),1)</f>
        <v>110842.8</v>
      </c>
      <c r="U43" s="1"/>
      <c r="V43" s="1"/>
      <c r="W43" s="1528"/>
      <c r="X43" s="1"/>
      <c r="Y43" s="1525">
        <f>ROUND(SUM(Y35:Y42),1)</f>
        <v>9646.6</v>
      </c>
      <c r="Z43" s="1"/>
      <c r="AA43" s="1525">
        <f>ROUND(SUM(AA35:AA42),1)</f>
        <v>103337.4</v>
      </c>
      <c r="AB43" s="1343"/>
      <c r="AC43" s="1529"/>
      <c r="AD43" s="1525">
        <f>ROUND(SUM(AD35:AD42),1)</f>
        <v>7505.4</v>
      </c>
      <c r="AE43" s="1475"/>
      <c r="AF43" s="1530">
        <f>ROUND(+AD43/AA43,3)</f>
        <v>7.2999999999999995E-2</v>
      </c>
      <c r="AG43" s="1557"/>
    </row>
    <row r="44" spans="1:33" ht="16.399999999999999" customHeight="1">
      <c r="A44" s="1343"/>
      <c r="B44" s="1342"/>
      <c r="C44" s="1342"/>
      <c r="D44" s="263"/>
      <c r="E44" s="263"/>
      <c r="F44" s="263"/>
      <c r="G44" s="263"/>
      <c r="H44" s="263"/>
      <c r="I44" s="263"/>
      <c r="J44" s="263"/>
      <c r="K44" s="263"/>
      <c r="L44" s="263"/>
      <c r="M44" s="263"/>
      <c r="N44" s="263"/>
      <c r="O44" s="263"/>
      <c r="P44" s="1571"/>
      <c r="Q44" s="1519"/>
      <c r="R44" s="263"/>
      <c r="S44" s="263"/>
      <c r="T44" s="263"/>
      <c r="U44" s="263"/>
      <c r="V44" s="263"/>
      <c r="W44" s="1520"/>
      <c r="X44" s="263"/>
      <c r="Y44" s="263"/>
      <c r="Z44" s="263"/>
      <c r="AA44" s="263"/>
      <c r="AB44" s="1342"/>
      <c r="AC44" s="1508"/>
      <c r="AD44" s="263"/>
      <c r="AF44" s="294"/>
      <c r="AG44" s="1557"/>
    </row>
    <row r="45" spans="1:33" ht="16.399999999999999" customHeight="1">
      <c r="A45" s="1343" t="s">
        <v>143</v>
      </c>
      <c r="B45" s="1343"/>
      <c r="C45" s="1342"/>
      <c r="D45" s="263"/>
      <c r="E45" s="263"/>
      <c r="F45" s="263"/>
      <c r="G45" s="263"/>
      <c r="H45" s="263"/>
      <c r="I45" s="263"/>
      <c r="J45" s="263"/>
      <c r="K45" s="263"/>
      <c r="L45" s="263"/>
      <c r="M45" s="263"/>
      <c r="N45" s="263"/>
      <c r="O45" s="263"/>
      <c r="P45" s="1571"/>
      <c r="Q45" s="1519"/>
      <c r="R45" s="263"/>
      <c r="S45" s="263"/>
      <c r="T45" s="263"/>
      <c r="U45" s="263"/>
      <c r="V45" s="263"/>
      <c r="W45" s="1520"/>
      <c r="X45" s="263"/>
      <c r="Y45" s="263"/>
      <c r="Z45" s="263"/>
      <c r="AA45" s="263"/>
      <c r="AB45" s="1342"/>
      <c r="AC45" s="1508"/>
      <c r="AD45" s="263"/>
      <c r="AF45" s="294"/>
      <c r="AG45" s="1557"/>
    </row>
    <row r="46" spans="1:33" ht="16.399999999999999" customHeight="1">
      <c r="A46" s="1343" t="s">
        <v>144</v>
      </c>
      <c r="B46" s="1343"/>
      <c r="C46" s="1342"/>
      <c r="D46" s="1010">
        <f>ROUND(SUM(D21-D43),1)</f>
        <v>-2948.1</v>
      </c>
      <c r="E46" s="1"/>
      <c r="F46" s="1010">
        <f>ROUND(SUM(F21-F43),1)</f>
        <v>-23370.6</v>
      </c>
      <c r="G46" s="1"/>
      <c r="H46" s="1010">
        <f>ROUND(SUM(H21-H43),1)</f>
        <v>341.1</v>
      </c>
      <c r="I46" s="1"/>
      <c r="J46" s="1010">
        <f>ROUND(SUM(J21-J43),1)</f>
        <v>-2665.2</v>
      </c>
      <c r="K46" s="1"/>
      <c r="L46" s="1010">
        <f>ROUND(SUM(L21-L43),1)</f>
        <v>3876.8</v>
      </c>
      <c r="M46" s="1" t="s">
        <v>103</v>
      </c>
      <c r="N46" s="1010">
        <f>ROUND(SUM(N21-N43),1)</f>
        <v>43471.9</v>
      </c>
      <c r="O46" s="1"/>
      <c r="P46" s="1539"/>
      <c r="Q46" s="1527"/>
      <c r="R46" s="1010">
        <f>ROUND(SUM(+R21-R43),1)</f>
        <v>1269.8</v>
      </c>
      <c r="S46" s="1"/>
      <c r="T46" s="1010">
        <f>ROUND(SUM(+T21-T43),1)</f>
        <v>17436.099999999999</v>
      </c>
      <c r="U46" s="1"/>
      <c r="V46" s="1"/>
      <c r="W46" s="1528"/>
      <c r="X46" s="1"/>
      <c r="Y46" s="1010">
        <f>ROUND(SUM(Y21-Y43),1)</f>
        <v>-193.8</v>
      </c>
      <c r="Z46" s="1" t="s">
        <v>103</v>
      </c>
      <c r="AA46" s="1010">
        <f>ROUND(SUM(AA21-AA43),1)</f>
        <v>12280.1</v>
      </c>
      <c r="AB46" s="1343"/>
      <c r="AC46" s="1529"/>
      <c r="AD46" s="1010">
        <f>ROUND(SUM(AD21-AD43),1)</f>
        <v>5156</v>
      </c>
      <c r="AE46" s="1475"/>
      <c r="AF46" s="550">
        <f>ROUND(AD46/ABS(AA46),3)</f>
        <v>0.42</v>
      </c>
      <c r="AG46" s="1557"/>
    </row>
    <row r="47" spans="1:33" ht="16.399999999999999" customHeight="1">
      <c r="A47" s="1342"/>
      <c r="B47" s="1342"/>
      <c r="C47" s="1342"/>
      <c r="D47" s="263"/>
      <c r="E47" s="263"/>
      <c r="F47" s="263"/>
      <c r="G47" s="263"/>
      <c r="H47" s="263"/>
      <c r="I47" s="263"/>
      <c r="J47" s="263"/>
      <c r="K47" s="263"/>
      <c r="L47" s="263"/>
      <c r="M47" s="263"/>
      <c r="N47" s="263"/>
      <c r="O47" s="263"/>
      <c r="P47" s="1571"/>
      <c r="Q47" s="1519"/>
      <c r="R47" s="263"/>
      <c r="S47" s="263"/>
      <c r="T47" s="263"/>
      <c r="U47" s="263"/>
      <c r="V47" s="263"/>
      <c r="W47" s="1520"/>
      <c r="X47" s="263"/>
      <c r="Y47" s="263"/>
      <c r="Z47" s="263"/>
      <c r="AA47" s="263"/>
      <c r="AB47" s="1342"/>
      <c r="AC47" s="1508"/>
      <c r="AD47" s="263"/>
      <c r="AF47" s="294"/>
      <c r="AG47" s="1557"/>
    </row>
    <row r="48" spans="1:33" ht="16.399999999999999" customHeight="1">
      <c r="A48" s="1343" t="s">
        <v>145</v>
      </c>
      <c r="B48" s="1343"/>
      <c r="C48" s="1342"/>
      <c r="D48" s="263"/>
      <c r="E48" s="263"/>
      <c r="F48" s="263"/>
      <c r="G48" s="263"/>
      <c r="H48" s="263"/>
      <c r="I48" s="263"/>
      <c r="J48" s="263"/>
      <c r="K48" s="263"/>
      <c r="L48" s="263"/>
      <c r="M48" s="263"/>
      <c r="N48" s="263"/>
      <c r="O48" s="263"/>
      <c r="P48" s="1571"/>
      <c r="Q48" s="1519"/>
      <c r="R48" s="263"/>
      <c r="S48" s="263"/>
      <c r="T48" s="263"/>
      <c r="U48" s="263"/>
      <c r="V48" s="263"/>
      <c r="W48" s="1520"/>
      <c r="X48" s="263"/>
      <c r="Y48" s="263"/>
      <c r="Z48" s="263"/>
      <c r="AA48" s="263"/>
      <c r="AB48" s="1342"/>
      <c r="AC48" s="1508"/>
      <c r="AD48" s="263"/>
      <c r="AF48" s="294"/>
      <c r="AG48" s="1557"/>
    </row>
    <row r="49" spans="1:33" ht="18" customHeight="1">
      <c r="A49" s="1342" t="s">
        <v>147</v>
      </c>
      <c r="B49" s="1505" t="s">
        <v>148</v>
      </c>
      <c r="C49" s="1342"/>
      <c r="D49" s="263">
        <f>+'Exhibit A'!D49</f>
        <v>2846.7999999999884</v>
      </c>
      <c r="E49" s="263"/>
      <c r="F49" s="263">
        <f>+'Exhibit A'!F49</f>
        <v>43570.1</v>
      </c>
      <c r="G49" s="263"/>
      <c r="H49" s="263">
        <f>+'Exhibit G State'!X113</f>
        <v>257.40000000000009</v>
      </c>
      <c r="I49" s="263"/>
      <c r="J49" s="263">
        <f>+'Exhibit G State'!AC113</f>
        <v>3618.9</v>
      </c>
      <c r="K49" s="263"/>
      <c r="L49" s="263">
        <f>+'Exhibit A'!L49</f>
        <v>521.01000000000022</v>
      </c>
      <c r="M49" s="263"/>
      <c r="N49" s="1522">
        <f>+'Exhibit A'!N49</f>
        <v>2757.8</v>
      </c>
      <c r="O49" s="263"/>
      <c r="P49" s="1571"/>
      <c r="Q49" s="1519"/>
      <c r="R49" s="1522">
        <f>ROUND(SUM(L49+H49+D49),1)</f>
        <v>3625.2</v>
      </c>
      <c r="S49" s="263"/>
      <c r="T49" s="1522">
        <f>ROUND(SUM(F49+J49+N49),1)</f>
        <v>49946.8</v>
      </c>
      <c r="U49" s="263"/>
      <c r="V49" s="263"/>
      <c r="W49" s="1520"/>
      <c r="X49" s="263"/>
      <c r="Y49" s="263">
        <v>2384.1</v>
      </c>
      <c r="Z49" s="263" t="s">
        <v>103</v>
      </c>
      <c r="AA49" s="263">
        <f>'Exhibit F'!AF128+'Exhibit F'!AF129+'Exhibit F'!AF130+'Exhibit F'!AF131+'Exhibit G State'!AF113+'Exhibit H'!AD69</f>
        <v>43548.2</v>
      </c>
      <c r="AB49" s="1342"/>
      <c r="AC49" s="1508"/>
      <c r="AD49" s="263">
        <f>ROUND(SUM(T49-AA49),1)</f>
        <v>6398.6</v>
      </c>
      <c r="AF49" s="276">
        <f>ROUND(SUM(+AD49/AA49),3)</f>
        <v>0.14699999999999999</v>
      </c>
      <c r="AG49" s="1557"/>
    </row>
    <row r="50" spans="1:33" ht="18" customHeight="1">
      <c r="A50" s="1342" t="s">
        <v>149</v>
      </c>
      <c r="B50" s="1505" t="s">
        <v>148</v>
      </c>
      <c r="C50" s="1342"/>
      <c r="D50" s="263">
        <f>+'Exhibit A'!D50</f>
        <v>-1045.8000000000002</v>
      </c>
      <c r="E50" s="263"/>
      <c r="F50" s="263">
        <f>+'Exhibit A'!F50</f>
        <v>-9578.8999999999978</v>
      </c>
      <c r="G50" s="263"/>
      <c r="H50" s="263">
        <f>+'Exhibit G State'!X114</f>
        <v>-2.7000000000000171</v>
      </c>
      <c r="I50" s="263"/>
      <c r="J50" s="542">
        <f>'Exhibit G State'!AC114</f>
        <v>-220.8</v>
      </c>
      <c r="K50" s="263"/>
      <c r="L50" s="263">
        <f>+'Exhibit A'!L50</f>
        <v>-2777.6999999999971</v>
      </c>
      <c r="M50" s="263"/>
      <c r="N50" s="1522">
        <f>+'Exhibit A'!N50</f>
        <v>-43147.199999999997</v>
      </c>
      <c r="O50" s="263"/>
      <c r="P50" s="1571"/>
      <c r="Q50" s="1519"/>
      <c r="R50" s="542">
        <f>ROUND(SUM(D50+H50+L50),1)</f>
        <v>-3826.2</v>
      </c>
      <c r="S50" s="263"/>
      <c r="T50" s="263">
        <f>ROUND(SUM(F50+J50+N50),1)</f>
        <v>-52946.9</v>
      </c>
      <c r="U50" s="263"/>
      <c r="V50" s="263"/>
      <c r="W50" s="1520"/>
      <c r="X50" s="263"/>
      <c r="Y50" s="263">
        <v>-2644.7</v>
      </c>
      <c r="Z50" s="263" t="s">
        <v>103</v>
      </c>
      <c r="AA50" s="263">
        <f>'Exhibit F'!AF132+'Exhibit F'!AF133+'Exhibit F'!AF134+'Exhibit F'!AF135+'Exhibit G State'!AF114+'Exhibit H'!AD70</f>
        <v>-45180.2</v>
      </c>
      <c r="AB50" s="1342"/>
      <c r="AC50" s="1508"/>
      <c r="AD50" s="263">
        <f>-ROUND(SUM(T50-AA50),1)</f>
        <v>7766.7</v>
      </c>
      <c r="AF50" s="544">
        <f>ROUND(SUM(-AD50/AA50),3)</f>
        <v>0.17199999999999999</v>
      </c>
      <c r="AG50" s="1557"/>
    </row>
    <row r="51" spans="1:33" ht="18" customHeight="1">
      <c r="A51" s="1343" t="s">
        <v>150</v>
      </c>
      <c r="B51" s="1343"/>
      <c r="C51" s="1342"/>
      <c r="D51" s="1525">
        <f>ROUND(SUM(D49:D50),1)</f>
        <v>1801</v>
      </c>
      <c r="E51" s="1"/>
      <c r="F51" s="1525">
        <f>ROUND(SUM(F49:F50),1)</f>
        <v>33991.199999999997</v>
      </c>
      <c r="G51" s="1"/>
      <c r="H51" s="1525">
        <f>ROUND(SUM(H49:H50),1)</f>
        <v>254.7</v>
      </c>
      <c r="I51" s="1"/>
      <c r="J51" s="1525">
        <f>ROUND(SUM(J49:J50),1)</f>
        <v>3398.1</v>
      </c>
      <c r="K51" s="1"/>
      <c r="L51" s="1525">
        <f>ROUND(SUM(L49:L50),1)</f>
        <v>-2256.6999999999998</v>
      </c>
      <c r="M51" s="1"/>
      <c r="N51" s="1525">
        <f>ROUND(SUM(N49:N50),1)</f>
        <v>-40389.4</v>
      </c>
      <c r="O51" s="1"/>
      <c r="P51" s="1539"/>
      <c r="Q51" s="1527"/>
      <c r="R51" s="1525">
        <f>ROUND(SUM(R49:R50),1)</f>
        <v>-201</v>
      </c>
      <c r="S51" s="1"/>
      <c r="T51" s="1525">
        <f>ROUND(SUM(T49:T50),1)</f>
        <v>-3000.1</v>
      </c>
      <c r="U51" s="1"/>
      <c r="V51" s="1"/>
      <c r="W51" s="1528"/>
      <c r="X51" s="1"/>
      <c r="Y51" s="1533">
        <f>ROUND(SUM(+Y49+Y50),1)</f>
        <v>-260.60000000000002</v>
      </c>
      <c r="Z51" s="1"/>
      <c r="AA51" s="1537">
        <f>ROUND(SUM(+AA49+AA50),1)</f>
        <v>-1632</v>
      </c>
      <c r="AB51" s="1343"/>
      <c r="AC51" s="1529"/>
      <c r="AD51" s="1537">
        <f>ROUND(SUM(AD49-AD50),1)</f>
        <v>-1368.1</v>
      </c>
      <c r="AE51" s="1475"/>
      <c r="AF51" s="550">
        <f>ROUND(SUM(AD51/ABS(AA51)),3)</f>
        <v>-0.83799999999999997</v>
      </c>
      <c r="AG51" s="1557"/>
    </row>
    <row r="52" spans="1:33" ht="16.399999999999999" customHeight="1">
      <c r="A52" s="1342"/>
      <c r="B52" s="1342"/>
      <c r="C52" s="1342"/>
      <c r="D52" s="263"/>
      <c r="E52" s="263"/>
      <c r="F52" s="263"/>
      <c r="G52" s="263"/>
      <c r="H52" s="263"/>
      <c r="I52" s="263"/>
      <c r="J52" s="263"/>
      <c r="K52" s="263"/>
      <c r="L52" s="263"/>
      <c r="M52" s="263"/>
      <c r="N52" s="263"/>
      <c r="O52" s="263"/>
      <c r="P52" s="1571"/>
      <c r="Q52" s="1519"/>
      <c r="R52" s="263"/>
      <c r="S52" s="263"/>
      <c r="T52" s="263"/>
      <c r="U52" s="263"/>
      <c r="V52" s="263"/>
      <c r="W52" s="1520"/>
      <c r="X52" s="263"/>
      <c r="Y52" s="263"/>
      <c r="Z52" s="263"/>
      <c r="AA52" s="263"/>
      <c r="AB52" s="1342"/>
      <c r="AC52" s="1508"/>
      <c r="AD52" s="263"/>
      <c r="AF52" s="294"/>
      <c r="AG52" s="1557"/>
    </row>
    <row r="53" spans="1:33" ht="18" customHeight="1">
      <c r="A53" s="1343" t="s">
        <v>143</v>
      </c>
      <c r="B53" s="1343"/>
      <c r="C53" s="1342"/>
      <c r="D53" s="263"/>
      <c r="E53" s="263"/>
      <c r="F53" s="263"/>
      <c r="G53" s="263"/>
      <c r="H53" s="263" t="s">
        <v>103</v>
      </c>
      <c r="I53" s="263"/>
      <c r="J53" s="263"/>
      <c r="K53" s="263"/>
      <c r="L53" s="263"/>
      <c r="M53" s="263"/>
      <c r="N53" s="263"/>
      <c r="O53" s="263"/>
      <c r="P53" s="1571"/>
      <c r="Q53" s="1519"/>
      <c r="R53" s="263"/>
      <c r="S53" s="263"/>
      <c r="T53" s="263"/>
      <c r="U53" s="263"/>
      <c r="V53" s="263"/>
      <c r="W53" s="1520"/>
      <c r="X53" s="263"/>
      <c r="Y53" s="263"/>
      <c r="Z53" s="263"/>
      <c r="AA53" s="263"/>
      <c r="AB53" s="1342"/>
      <c r="AC53" s="1508"/>
      <c r="AD53" s="263"/>
      <c r="AF53" s="1444"/>
      <c r="AG53" s="1557"/>
    </row>
    <row r="54" spans="1:33" ht="18" customHeight="1">
      <c r="A54" s="1343" t="s">
        <v>163</v>
      </c>
      <c r="B54" s="1343"/>
      <c r="C54" s="1342"/>
      <c r="D54" s="263"/>
      <c r="E54" s="263"/>
      <c r="F54" s="263"/>
      <c r="G54" s="263"/>
      <c r="H54" s="263"/>
      <c r="I54" s="263"/>
      <c r="J54" s="263"/>
      <c r="K54" s="263"/>
      <c r="L54" s="263"/>
      <c r="M54" s="263"/>
      <c r="N54" s="263"/>
      <c r="O54" s="263"/>
      <c r="P54" s="1571"/>
      <c r="Q54" s="1519"/>
      <c r="R54" s="263"/>
      <c r="S54" s="263"/>
      <c r="T54" s="263"/>
      <c r="U54" s="263"/>
      <c r="V54" s="263"/>
      <c r="W54" s="1520"/>
      <c r="X54" s="263"/>
      <c r="Y54" s="263" t="s">
        <v>103</v>
      </c>
      <c r="Z54" s="263"/>
      <c r="AA54" s="263"/>
      <c r="AB54" s="1342"/>
      <c r="AC54" s="1508"/>
      <c r="AD54" s="263"/>
      <c r="AF54" s="294"/>
      <c r="AG54" s="1557"/>
    </row>
    <row r="55" spans="1:33" ht="18" customHeight="1">
      <c r="A55" s="1343" t="s">
        <v>164</v>
      </c>
      <c r="B55" s="1343"/>
      <c r="C55" s="1342"/>
      <c r="D55" s="1">
        <f>ROUND(SUM(D46+D51),1)</f>
        <v>-1147.0999999999999</v>
      </c>
      <c r="E55" s="1"/>
      <c r="F55" s="1">
        <f>ROUND(SUM(F46)+SUM(F51),1)</f>
        <v>10620.6</v>
      </c>
      <c r="G55" s="1"/>
      <c r="H55" s="1">
        <f>ROUND(SUM(H46+H51),1)</f>
        <v>595.79999999999995</v>
      </c>
      <c r="I55" s="1"/>
      <c r="J55" s="1">
        <f>ROUND(SUM(J46)+SUM(J51),1)</f>
        <v>732.9</v>
      </c>
      <c r="K55" s="1"/>
      <c r="L55" s="1">
        <f>ROUND(SUM(L46+L51),1)</f>
        <v>1620.1</v>
      </c>
      <c r="M55" s="1526"/>
      <c r="N55" s="1526">
        <f>ROUND(SUM(N46+N51),1)</f>
        <v>3082.5</v>
      </c>
      <c r="O55" s="1526"/>
      <c r="P55" s="1539"/>
      <c r="Q55" s="1538"/>
      <c r="R55" s="1526">
        <f>ROUND(SUM(+R46+R51),1)</f>
        <v>1068.8</v>
      </c>
      <c r="S55" s="1526"/>
      <c r="T55" s="1526">
        <f>ROUND(SUM(T46+T51),1)</f>
        <v>14436</v>
      </c>
      <c r="U55" s="1526"/>
      <c r="V55" s="1526"/>
      <c r="W55" s="1539"/>
      <c r="X55" s="1526"/>
      <c r="Y55" s="1">
        <f>ROUND(SUM(Y46)+SUM(Y51),1)</f>
        <v>-454.4</v>
      </c>
      <c r="Z55" s="1"/>
      <c r="AA55" s="1">
        <f>ROUND(SUM(AA46)+SUM(AA51),1)</f>
        <v>10648.1</v>
      </c>
      <c r="AB55" s="1343"/>
      <c r="AC55" s="1529"/>
      <c r="AD55" s="1">
        <f>ROUND(SUM(+AD46+AD51),1)</f>
        <v>3787.9</v>
      </c>
      <c r="AE55" s="1475"/>
      <c r="AF55" s="554">
        <f>ROUND(SUM(AD55/AA55),3)</f>
        <v>0.35599999999999998</v>
      </c>
      <c r="AG55" s="1557"/>
    </row>
    <row r="56" spans="1:33" ht="16.399999999999999" customHeight="1">
      <c r="A56" s="1343"/>
      <c r="B56" s="1343"/>
      <c r="C56" s="1342"/>
      <c r="D56" s="263"/>
      <c r="E56" s="263"/>
      <c r="F56" s="263"/>
      <c r="G56" s="263"/>
      <c r="H56" s="263"/>
      <c r="I56" s="263"/>
      <c r="J56" s="263"/>
      <c r="K56" s="263"/>
      <c r="L56" s="263"/>
      <c r="M56" s="263"/>
      <c r="N56" s="263"/>
      <c r="O56" s="263"/>
      <c r="P56" s="1571"/>
      <c r="Q56" s="1519"/>
      <c r="R56" s="263"/>
      <c r="S56" s="263"/>
      <c r="T56" s="263"/>
      <c r="U56" s="263"/>
      <c r="V56" s="263"/>
      <c r="W56" s="1520"/>
      <c r="X56" s="263"/>
      <c r="Y56" s="263"/>
      <c r="Z56" s="263"/>
      <c r="AA56" s="263"/>
      <c r="AB56" s="1342"/>
      <c r="AC56" s="1508"/>
      <c r="AD56" s="263"/>
      <c r="AF56" s="294"/>
      <c r="AG56" s="1557"/>
    </row>
    <row r="57" spans="1:33" ht="18" customHeight="1">
      <c r="A57" s="1540" t="s">
        <v>153</v>
      </c>
      <c r="B57" s="1505"/>
      <c r="C57" s="1342"/>
      <c r="D57" s="1010">
        <f>+'Exhibit A'!D57</f>
        <v>58098.6</v>
      </c>
      <c r="E57" s="1"/>
      <c r="F57" s="1010">
        <f>'Exhibit A'!F57</f>
        <v>46330.9</v>
      </c>
      <c r="G57" s="1"/>
      <c r="H57" s="1010">
        <f>+'Exhibit G State'!X13</f>
        <v>9778.9</v>
      </c>
      <c r="I57" s="1"/>
      <c r="J57" s="1010">
        <f>'Exhibit G State'!D13</f>
        <v>9641.7999999999993</v>
      </c>
      <c r="K57" s="1"/>
      <c r="L57" s="1010">
        <f>+'Exhibit A'!L57</f>
        <v>1567</v>
      </c>
      <c r="M57" s="1"/>
      <c r="N57" s="2063">
        <f>+'Exhibit A'!N57</f>
        <v>104.6</v>
      </c>
      <c r="O57" s="1"/>
      <c r="P57" s="1539"/>
      <c r="Q57" s="1527"/>
      <c r="R57" s="1010">
        <f>ROUND(SUM(D57+H57+L57),1)</f>
        <v>69444.5</v>
      </c>
      <c r="S57" s="1"/>
      <c r="T57" s="1010">
        <f>ROUND(SUM(F57+J57+N57),1)</f>
        <v>56077.3</v>
      </c>
      <c r="U57" s="1"/>
      <c r="V57" s="1"/>
      <c r="W57" s="1528"/>
      <c r="X57" s="1"/>
      <c r="Y57" s="1010">
        <v>63826.3</v>
      </c>
      <c r="Z57" s="1" t="s">
        <v>103</v>
      </c>
      <c r="AA57" s="1010">
        <f>'Exhibit F'!AF13+'Exhibit G State'!AF13+'Exhibit H'!AD13</f>
        <v>52723.799999999996</v>
      </c>
      <c r="AB57" s="1343"/>
      <c r="AC57" s="1529"/>
      <c r="AD57" s="1010">
        <f>ROUND(SUM(T57-AA57),1)</f>
        <v>3353.5</v>
      </c>
      <c r="AE57" s="1475"/>
      <c r="AF57" s="549">
        <f>ROUND(+AD57/AA57,3)</f>
        <v>6.4000000000000001E-2</v>
      </c>
      <c r="AG57" s="1557"/>
    </row>
    <row r="58" spans="1:33" ht="16.399999999999999" customHeight="1">
      <c r="A58" s="1342"/>
      <c r="B58" s="1342"/>
      <c r="C58" s="1342"/>
      <c r="D58" s="1342"/>
      <c r="E58" s="1342"/>
      <c r="F58" s="1342"/>
      <c r="G58" s="1342"/>
      <c r="H58" s="1342"/>
      <c r="I58" s="1342"/>
      <c r="J58" s="1342"/>
      <c r="K58" s="1342"/>
      <c r="L58" s="1342"/>
      <c r="M58" s="1342"/>
      <c r="N58" s="1342"/>
      <c r="O58" s="1342"/>
      <c r="P58" s="1569"/>
      <c r="Q58" s="1506"/>
      <c r="R58" s="1342"/>
      <c r="S58" s="1342"/>
      <c r="T58" s="1342"/>
      <c r="U58" s="1342"/>
      <c r="V58" s="1342"/>
      <c r="W58" s="1507"/>
      <c r="X58" s="1342"/>
      <c r="Y58" s="1342"/>
      <c r="Z58" s="1342"/>
      <c r="AA58" s="1342"/>
      <c r="AB58" s="1342"/>
      <c r="AC58" s="1508"/>
      <c r="AD58" s="263"/>
      <c r="AF58" s="294"/>
      <c r="AG58" s="1557"/>
    </row>
    <row r="59" spans="1:33" ht="18" customHeight="1" thickBot="1">
      <c r="A59" s="1540" t="s">
        <v>165</v>
      </c>
      <c r="B59" s="1517" t="s">
        <v>103</v>
      </c>
      <c r="C59" s="1342"/>
      <c r="D59" s="1345">
        <f>ROUND(SUM(D55+D57),1)</f>
        <v>56951.5</v>
      </c>
      <c r="E59" s="1349"/>
      <c r="F59" s="1345">
        <f>ROUND(SUM(F55+F57),1)</f>
        <v>56951.5</v>
      </c>
      <c r="G59" s="1349"/>
      <c r="H59" s="1345">
        <f>ROUND(SUM(H55+H57),1)</f>
        <v>10374.700000000001</v>
      </c>
      <c r="I59" s="1349"/>
      <c r="J59" s="1345">
        <f>ROUND(SUM(J55)+SUM(J57),1)</f>
        <v>10374.700000000001</v>
      </c>
      <c r="K59" s="1349"/>
      <c r="L59" s="1345">
        <f>ROUND(SUM(L55+L57),1)</f>
        <v>3187.1</v>
      </c>
      <c r="M59" s="1541"/>
      <c r="N59" s="1542">
        <f>ROUND(SUM(N55+N57),1)</f>
        <v>3187.1</v>
      </c>
      <c r="O59" s="1541"/>
      <c r="P59" s="1544"/>
      <c r="Q59" s="1543"/>
      <c r="R59" s="1542">
        <f>ROUND(SUM(R55+R57),1)</f>
        <v>70513.3</v>
      </c>
      <c r="S59" s="1541"/>
      <c r="T59" s="1542">
        <f>ROUND(SUM(T55+T57),1)</f>
        <v>70513.3</v>
      </c>
      <c r="U59" s="1541"/>
      <c r="V59" s="1541"/>
      <c r="W59" s="1544"/>
      <c r="X59" s="1541"/>
      <c r="Y59" s="1345">
        <f>ROUND(SUM(Y55+Y57),1)</f>
        <v>63371.9</v>
      </c>
      <c r="Z59" s="1349"/>
      <c r="AA59" s="1345">
        <f>ROUND(SUM(AA55+AA57),1)</f>
        <v>63371.9</v>
      </c>
      <c r="AB59" s="1473"/>
      <c r="AC59" s="1545"/>
      <c r="AD59" s="1345">
        <f>ROUND(SUM(AD55+AD57),1)</f>
        <v>7141.4</v>
      </c>
      <c r="AE59" s="1475"/>
      <c r="AF59" s="1546">
        <f>ROUND(+AD59/AA59,3)</f>
        <v>0.113</v>
      </c>
      <c r="AG59" s="1557"/>
    </row>
    <row r="60" spans="1:33" ht="16" thickTop="1">
      <c r="A60" s="1547"/>
      <c r="B60" s="1547"/>
      <c r="C60" s="1547"/>
      <c r="D60" s="1548"/>
      <c r="E60" s="1548"/>
      <c r="F60" s="1548"/>
      <c r="G60" s="1548"/>
      <c r="H60" s="1549"/>
      <c r="I60" s="1548"/>
      <c r="J60" s="1548"/>
      <c r="K60" s="1548"/>
      <c r="L60" s="1548"/>
      <c r="M60" s="1548"/>
      <c r="N60" s="1548"/>
      <c r="O60" s="1548"/>
      <c r="P60" s="1550"/>
      <c r="Q60" s="1548"/>
      <c r="R60" s="1548"/>
      <c r="S60" s="1548"/>
      <c r="T60" s="1548" t="s">
        <v>103</v>
      </c>
      <c r="U60" s="1548"/>
      <c r="V60" s="1548"/>
      <c r="W60" s="1548"/>
      <c r="X60" s="1548"/>
      <c r="Y60" s="1548"/>
      <c r="Z60" s="1548"/>
      <c r="AA60" s="1548"/>
      <c r="AB60" s="1548"/>
      <c r="AC60" s="1548"/>
      <c r="AD60" s="1548"/>
      <c r="AF60" s="1551"/>
    </row>
    <row r="61" spans="1:33">
      <c r="H61" s="1485" t="s">
        <v>103</v>
      </c>
      <c r="Q61" s="1390" t="s">
        <v>103</v>
      </c>
      <c r="R61" s="1390" t="s">
        <v>103</v>
      </c>
    </row>
    <row r="62" spans="1:33" ht="18" customHeight="1">
      <c r="A62" s="294" t="s">
        <v>166</v>
      </c>
      <c r="AA62" s="1390" t="s">
        <v>103</v>
      </c>
    </row>
    <row r="63" spans="1:33" ht="18" customHeight="1">
      <c r="A63" s="711" t="s">
        <v>167</v>
      </c>
    </row>
    <row r="64" spans="1:33" ht="15.5">
      <c r="A64" s="1505"/>
      <c r="Y64" s="263" t="s">
        <v>103</v>
      </c>
      <c r="AA64" s="1390" t="s">
        <v>103</v>
      </c>
    </row>
    <row r="65" spans="1:25" ht="15.5">
      <c r="A65" s="1552"/>
      <c r="B65" s="1553"/>
      <c r="C65" s="295"/>
      <c r="D65" s="1554"/>
      <c r="E65" s="1554"/>
      <c r="F65" s="1554"/>
      <c r="G65" s="1554"/>
      <c r="H65" s="1555"/>
      <c r="I65" s="1554"/>
      <c r="J65" s="1554"/>
      <c r="K65" s="1554"/>
      <c r="L65" s="1554"/>
      <c r="Y65" s="263" t="s">
        <v>103</v>
      </c>
    </row>
    <row r="66" spans="1:25" ht="15.5">
      <c r="A66" s="294"/>
      <c r="B66" s="294"/>
      <c r="C66" s="294"/>
      <c r="D66" s="294"/>
      <c r="E66" s="294"/>
      <c r="F66" s="294"/>
      <c r="G66" s="294"/>
      <c r="H66" s="1556"/>
      <c r="I66" s="294"/>
      <c r="J66" s="294"/>
      <c r="K66" s="294"/>
      <c r="L66" s="294"/>
    </row>
    <row r="67" spans="1:25" ht="15.5">
      <c r="A67" s="294"/>
      <c r="B67" s="294"/>
      <c r="C67" s="294"/>
      <c r="D67" s="294"/>
      <c r="E67" s="294"/>
      <c r="F67" s="294"/>
      <c r="G67" s="294"/>
      <c r="H67" s="1556"/>
      <c r="I67" s="294"/>
      <c r="J67" s="294"/>
      <c r="K67" s="294"/>
      <c r="L67" s="294"/>
    </row>
    <row r="68" spans="1:25" ht="15.5">
      <c r="A68" s="294"/>
      <c r="B68" s="294"/>
      <c r="C68" s="294"/>
      <c r="D68" s="294"/>
      <c r="E68" s="294"/>
      <c r="F68" s="294"/>
      <c r="G68" s="294"/>
      <c r="H68" s="1556"/>
      <c r="I68" s="294"/>
      <c r="J68" s="294"/>
      <c r="K68" s="294"/>
      <c r="L68" s="294"/>
    </row>
    <row r="69" spans="1:25" ht="19.5" customHeight="1">
      <c r="A69" s="294"/>
      <c r="I69" s="294"/>
    </row>
    <row r="73" spans="1:25">
      <c r="F73" s="1390" t="s">
        <v>103</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9"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5:B20"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M169"/>
  <sheetViews>
    <sheetView showGridLines="0" zoomScale="90" zoomScaleNormal="100" workbookViewId="0"/>
  </sheetViews>
  <sheetFormatPr defaultColWidth="8.69140625" defaultRowHeight="15.5"/>
  <cols>
    <col min="1" max="1" width="58.07421875" style="321" customWidth="1"/>
    <col min="2" max="2" width="2.07421875" style="321" customWidth="1"/>
    <col min="3" max="3" width="17.69140625" style="320" customWidth="1"/>
    <col min="4" max="4" width="1.69140625" style="321" customWidth="1"/>
    <col min="5" max="5" width="17.69140625" style="321" customWidth="1"/>
    <col min="6" max="6" width="1.69140625" style="321" customWidth="1"/>
    <col min="7" max="7" width="17.69140625" style="321" customWidth="1"/>
    <col min="8" max="8" width="1.69140625" style="321" customWidth="1"/>
    <col min="9" max="9" width="17.69140625" style="321" customWidth="1"/>
    <col min="10" max="10" width="1.69140625" style="321" customWidth="1"/>
    <col min="11" max="11" width="17.69140625" style="321" customWidth="1"/>
    <col min="12" max="12" width="6.07421875" style="1293" customWidth="1"/>
    <col min="13" max="13" width="10.23046875" style="321" bestFit="1" customWidth="1"/>
    <col min="14" max="14" width="9.69140625" style="321" customWidth="1"/>
    <col min="15" max="16384" width="8.69140625" style="321"/>
  </cols>
  <sheetData>
    <row r="1" spans="1:13">
      <c r="A1" s="275" t="s">
        <v>97</v>
      </c>
    </row>
    <row r="2" spans="1:13">
      <c r="A2" s="841"/>
    </row>
    <row r="3" spans="1:13" s="1721" customFormat="1" ht="18" customHeight="1">
      <c r="A3" s="1717" t="s">
        <v>98</v>
      </c>
      <c r="B3" s="1718"/>
      <c r="C3" s="1718"/>
      <c r="D3" s="1718"/>
      <c r="E3" s="1718"/>
      <c r="F3" s="1718"/>
      <c r="G3" s="1718"/>
      <c r="H3" s="1718"/>
      <c r="I3" s="1718"/>
      <c r="J3" s="1718"/>
      <c r="K3" s="1719" t="s">
        <v>612</v>
      </c>
      <c r="L3" s="1720"/>
    </row>
    <row r="4" spans="1:13" s="1721" customFormat="1" ht="18" customHeight="1">
      <c r="A4" s="1717" t="s">
        <v>613</v>
      </c>
      <c r="B4" s="1718"/>
      <c r="C4" s="1718" t="s">
        <v>103</v>
      </c>
      <c r="D4" s="1718"/>
      <c r="E4" s="1718"/>
      <c r="F4" s="1718"/>
      <c r="G4" s="1718"/>
      <c r="H4" s="1718"/>
      <c r="I4" s="1718"/>
      <c r="J4" s="1718"/>
      <c r="L4" s="1722"/>
    </row>
    <row r="5" spans="1:13" s="1721" customFormat="1" ht="18" customHeight="1">
      <c r="A5" s="1717" t="s">
        <v>614</v>
      </c>
      <c r="B5" s="1718"/>
      <c r="C5" s="1718"/>
      <c r="D5" s="1718"/>
      <c r="E5" s="1718"/>
      <c r="F5" s="1718"/>
      <c r="G5" s="1718"/>
      <c r="H5" s="1718"/>
      <c r="I5" s="1718"/>
      <c r="J5" s="1718"/>
      <c r="K5" s="1723"/>
      <c r="L5" s="1724"/>
    </row>
    <row r="6" spans="1:13" s="1721" customFormat="1" ht="18" customHeight="1">
      <c r="A6" s="1725" t="s">
        <v>615</v>
      </c>
      <c r="B6" s="1718"/>
      <c r="C6" s="1718"/>
      <c r="D6" s="1718"/>
      <c r="E6" s="1726"/>
      <c r="F6" s="1718"/>
      <c r="G6" s="1718"/>
      <c r="H6" s="1718"/>
      <c r="I6" s="1718"/>
      <c r="J6" s="1718"/>
      <c r="K6" s="1727"/>
      <c r="L6" s="1720"/>
    </row>
    <row r="7" spans="1:13" s="1721" customFormat="1" ht="18" customHeight="1">
      <c r="A7" s="1725" t="str">
        <f>'Cashflow Governmental'!$A$6</f>
        <v>FISCAL YEAR 2024-2025</v>
      </c>
      <c r="B7" s="1718"/>
      <c r="C7" s="1718"/>
      <c r="D7" s="1718"/>
      <c r="E7" s="1718"/>
      <c r="F7" s="1718"/>
      <c r="G7" s="1718"/>
      <c r="H7" s="1718"/>
      <c r="I7" s="1718"/>
      <c r="J7" s="1718"/>
      <c r="K7" s="1727"/>
      <c r="L7" s="1720"/>
    </row>
    <row r="8" spans="1:13" s="1721" customFormat="1" ht="18" customHeight="1">
      <c r="A8" s="1725" t="str">
        <f>"FOR THE MONTH OF "&amp;Footnotes!$O$3</f>
        <v>FOR THE MONTH OF FEBRUARY 2025</v>
      </c>
      <c r="B8" s="1718"/>
      <c r="C8" s="1913"/>
      <c r="D8" s="1718"/>
      <c r="E8" s="1718" t="s">
        <v>103</v>
      </c>
      <c r="F8" s="1718"/>
      <c r="G8" s="1718"/>
      <c r="H8" s="1718"/>
      <c r="I8" s="1718"/>
      <c r="J8" s="1718"/>
      <c r="K8" s="1718"/>
      <c r="L8" s="1720"/>
    </row>
    <row r="9" spans="1:13" s="1721" customFormat="1" ht="18" customHeight="1">
      <c r="A9" s="1717" t="s">
        <v>563</v>
      </c>
      <c r="B9" s="1728" t="s">
        <v>616</v>
      </c>
      <c r="C9" s="1729"/>
      <c r="D9" s="1729"/>
      <c r="E9" s="1729"/>
      <c r="F9" s="1729"/>
      <c r="G9" s="1729"/>
      <c r="H9" s="1729"/>
      <c r="I9" s="1729"/>
      <c r="J9" s="1729"/>
      <c r="K9" s="1729"/>
      <c r="L9" s="1730"/>
    </row>
    <row r="10" spans="1:13">
      <c r="A10" s="318"/>
      <c r="B10" s="318"/>
      <c r="C10" s="136" t="s">
        <v>617</v>
      </c>
      <c r="D10" s="140"/>
      <c r="E10" s="140"/>
      <c r="F10" s="140"/>
      <c r="G10" s="140"/>
      <c r="H10" s="140"/>
      <c r="I10" s="136" t="s">
        <v>618</v>
      </c>
      <c r="J10" s="140"/>
      <c r="K10" s="136" t="s">
        <v>617</v>
      </c>
      <c r="L10" s="1294"/>
    </row>
    <row r="11" spans="1:13">
      <c r="A11" s="318"/>
      <c r="B11" s="318"/>
      <c r="C11" s="1715" t="str">
        <f>UPPER(TEXT(K11-DAY(K11)+1,"MMMM D, YYYY"))</f>
        <v>FEBRUARY 1, 2025</v>
      </c>
      <c r="D11" s="140"/>
      <c r="E11" s="1167" t="s">
        <v>619</v>
      </c>
      <c r="F11" s="140"/>
      <c r="G11" s="1168" t="s">
        <v>620</v>
      </c>
      <c r="H11" s="140"/>
      <c r="I11" s="1168" t="s">
        <v>621</v>
      </c>
      <c r="J11" s="140"/>
      <c r="K11" s="843" t="str">
        <f>_xlfn.TEXTAFTER('Exh D Governmental  '!A6," ",4)</f>
        <v>FEBRUARY 28, 2025</v>
      </c>
      <c r="L11" s="1716"/>
    </row>
    <row r="12" spans="1:13">
      <c r="A12" s="318"/>
      <c r="B12" s="318"/>
      <c r="C12" s="703"/>
      <c r="D12" s="140"/>
      <c r="E12" s="136"/>
      <c r="F12" s="140"/>
      <c r="G12" s="136"/>
      <c r="H12" s="140"/>
      <c r="I12" s="136"/>
      <c r="J12" s="140"/>
      <c r="K12" s="844"/>
      <c r="L12" s="1295"/>
    </row>
    <row r="13" spans="1:13">
      <c r="A13" s="137" t="s">
        <v>451</v>
      </c>
      <c r="B13" s="318"/>
      <c r="C13" s="318"/>
      <c r="D13" s="318"/>
      <c r="E13" s="317"/>
      <c r="F13" s="318"/>
      <c r="G13" s="317"/>
      <c r="H13" s="318"/>
      <c r="I13" s="317"/>
      <c r="J13" s="318"/>
      <c r="K13" s="318"/>
    </row>
    <row r="14" spans="1:13">
      <c r="A14" s="318" t="s">
        <v>622</v>
      </c>
      <c r="B14" s="317"/>
      <c r="C14" s="1791">
        <v>0</v>
      </c>
      <c r="D14" s="1792"/>
      <c r="E14" s="1791">
        <v>0.17399999999999999</v>
      </c>
      <c r="F14" s="1792"/>
      <c r="G14" s="1791">
        <v>4087.13</v>
      </c>
      <c r="H14" s="1792"/>
      <c r="I14" s="1791">
        <v>4086.9560000000001</v>
      </c>
      <c r="J14" s="317"/>
      <c r="K14" s="1793">
        <f>ROUND(SUM(C14)+SUM(E14)-SUM(G14)+SUM(I14),3)</f>
        <v>0</v>
      </c>
      <c r="L14" s="1296"/>
      <c r="M14" s="2048"/>
    </row>
    <row r="15" spans="1:13">
      <c r="A15" s="318" t="s">
        <v>623</v>
      </c>
      <c r="B15" s="318"/>
      <c r="C15" s="1794">
        <v>56573.425000000003</v>
      </c>
      <c r="D15" s="1792"/>
      <c r="E15" s="1794">
        <v>4312.4780000000001</v>
      </c>
      <c r="F15" s="1792"/>
      <c r="G15" s="1794">
        <v>3173.605</v>
      </c>
      <c r="H15" s="1792"/>
      <c r="I15" s="1794">
        <v>-2285.9920000000002</v>
      </c>
      <c r="J15" s="317"/>
      <c r="K15" s="1795">
        <f t="shared" ref="K15:K23" si="0">ROUND(SUM(C15)+SUM(E15)-SUM(G15)+SUM(I15),3)</f>
        <v>55426.305999999997</v>
      </c>
      <c r="L15" s="1297"/>
      <c r="M15" s="2048"/>
    </row>
    <row r="16" spans="1:13">
      <c r="A16" s="319" t="s">
        <v>624</v>
      </c>
      <c r="B16" s="318"/>
      <c r="C16" s="1794">
        <v>0</v>
      </c>
      <c r="D16" s="1792"/>
      <c r="E16" s="1794">
        <v>0</v>
      </c>
      <c r="F16" s="1792"/>
      <c r="G16" s="1794">
        <v>0</v>
      </c>
      <c r="H16" s="1792"/>
      <c r="I16" s="1794">
        <v>0</v>
      </c>
      <c r="J16" s="317"/>
      <c r="K16" s="1795">
        <f t="shared" si="0"/>
        <v>0</v>
      </c>
      <c r="L16" s="1297"/>
      <c r="M16" s="2048"/>
    </row>
    <row r="17" spans="1:13">
      <c r="A17" s="318" t="s">
        <v>625</v>
      </c>
      <c r="B17" s="318"/>
      <c r="C17" s="1794">
        <v>0</v>
      </c>
      <c r="D17" s="1792"/>
      <c r="E17" s="1794">
        <v>0</v>
      </c>
      <c r="F17" s="1792"/>
      <c r="G17" s="1794">
        <v>0</v>
      </c>
      <c r="H17" s="1792"/>
      <c r="I17" s="1794">
        <v>0</v>
      </c>
      <c r="J17" s="317"/>
      <c r="K17" s="1795">
        <f t="shared" si="0"/>
        <v>0</v>
      </c>
      <c r="L17" s="1297"/>
      <c r="M17" s="2048"/>
    </row>
    <row r="18" spans="1:13">
      <c r="A18" s="318" t="s">
        <v>626</v>
      </c>
      <c r="B18" s="318"/>
      <c r="C18" s="1794">
        <v>0</v>
      </c>
      <c r="D18" s="1792"/>
      <c r="E18" s="1794">
        <v>0</v>
      </c>
      <c r="F18" s="1792"/>
      <c r="G18" s="1794">
        <v>0</v>
      </c>
      <c r="H18" s="1792"/>
      <c r="I18" s="1794">
        <v>0</v>
      </c>
      <c r="J18" s="317"/>
      <c r="K18" s="1795">
        <f t="shared" si="0"/>
        <v>0</v>
      </c>
      <c r="L18" s="1297"/>
      <c r="M18" s="2048"/>
    </row>
    <row r="19" spans="1:13">
      <c r="A19" s="318" t="s">
        <v>627</v>
      </c>
      <c r="B19" s="318"/>
      <c r="C19" s="1794">
        <v>25.163</v>
      </c>
      <c r="D19" s="1792"/>
      <c r="E19" s="1794">
        <v>0</v>
      </c>
      <c r="F19" s="1792"/>
      <c r="G19" s="1794">
        <v>1.2E-2</v>
      </c>
      <c r="H19" s="1792"/>
      <c r="I19" s="1794">
        <v>0</v>
      </c>
      <c r="J19" s="317"/>
      <c r="K19" s="1795">
        <f t="shared" si="0"/>
        <v>25.151</v>
      </c>
      <c r="L19" s="1298"/>
      <c r="M19" s="2048"/>
    </row>
    <row r="20" spans="1:13">
      <c r="A20" s="318" t="s">
        <v>628</v>
      </c>
      <c r="B20" s="318"/>
      <c r="C20" s="1794">
        <v>1500</v>
      </c>
      <c r="D20" s="1792"/>
      <c r="E20" s="1794">
        <v>0</v>
      </c>
      <c r="F20" s="1792"/>
      <c r="G20" s="1794">
        <v>0</v>
      </c>
      <c r="H20" s="1792"/>
      <c r="I20" s="1794">
        <v>0</v>
      </c>
      <c r="J20" s="317"/>
      <c r="K20" s="1795">
        <f t="shared" si="0"/>
        <v>1500</v>
      </c>
      <c r="L20" s="1297"/>
      <c r="M20" s="2048"/>
    </row>
    <row r="21" spans="1:13">
      <c r="A21" s="319" t="s">
        <v>629</v>
      </c>
      <c r="B21" s="318"/>
      <c r="C21" s="1794">
        <v>0</v>
      </c>
      <c r="D21" s="1792"/>
      <c r="E21" s="1794">
        <v>0</v>
      </c>
      <c r="F21" s="1792"/>
      <c r="G21" s="1794">
        <v>0</v>
      </c>
      <c r="H21" s="1792"/>
      <c r="I21" s="1794">
        <v>0</v>
      </c>
      <c r="J21" s="317"/>
      <c r="K21" s="1795">
        <f t="shared" si="0"/>
        <v>0</v>
      </c>
      <c r="L21" s="1297"/>
      <c r="M21" s="2048"/>
    </row>
    <row r="22" spans="1:13">
      <c r="A22" s="319" t="s">
        <v>630</v>
      </c>
      <c r="B22" s="318"/>
      <c r="C22" s="1794">
        <v>0</v>
      </c>
      <c r="D22" s="1792"/>
      <c r="E22" s="1794">
        <v>0</v>
      </c>
      <c r="F22" s="1792"/>
      <c r="G22" s="1794">
        <v>0</v>
      </c>
      <c r="H22" s="1792"/>
      <c r="I22" s="1794">
        <v>0</v>
      </c>
      <c r="J22" s="317"/>
      <c r="K22" s="1795">
        <f t="shared" si="0"/>
        <v>0</v>
      </c>
      <c r="L22" s="1297"/>
      <c r="M22" s="2048"/>
    </row>
    <row r="23" spans="1:13">
      <c r="A23" s="319" t="s">
        <v>631</v>
      </c>
      <c r="B23" s="318"/>
      <c r="C23" s="1794">
        <v>0</v>
      </c>
      <c r="D23" s="1792"/>
      <c r="E23" s="1794">
        <v>0</v>
      </c>
      <c r="F23" s="1792"/>
      <c r="G23" s="1794">
        <v>0</v>
      </c>
      <c r="H23" s="1792"/>
      <c r="I23" s="1794">
        <v>0</v>
      </c>
      <c r="J23" s="317"/>
      <c r="K23" s="1795">
        <f t="shared" si="0"/>
        <v>0</v>
      </c>
      <c r="L23" s="1297"/>
      <c r="M23" s="2048"/>
    </row>
    <row r="24" spans="1:13">
      <c r="A24" s="135" t="s">
        <v>632</v>
      </c>
      <c r="B24" s="318"/>
      <c r="C24" s="1796">
        <f>ROUND(SUM(C14:C23),3)</f>
        <v>58098.588000000003</v>
      </c>
      <c r="D24" s="136"/>
      <c r="E24" s="1796">
        <f>ROUND(SUM(E14:E23),3)</f>
        <v>4312.652</v>
      </c>
      <c r="F24" s="136"/>
      <c r="G24" s="1796">
        <f>ROUND(SUM(G14:G23),3)</f>
        <v>7260.7470000000003</v>
      </c>
      <c r="H24" s="136"/>
      <c r="I24" s="1796">
        <f>ROUND(SUM(I14:I23),3)</f>
        <v>1800.9639999999999</v>
      </c>
      <c r="J24" s="136"/>
      <c r="K24" s="1796">
        <f>ROUND(SUM(K14:K23),3)</f>
        <v>56951.457000000002</v>
      </c>
      <c r="L24" s="1299"/>
      <c r="M24" s="2048"/>
    </row>
    <row r="25" spans="1:13" ht="8.25" customHeight="1">
      <c r="A25" s="135"/>
      <c r="B25" s="318"/>
      <c r="C25" s="317"/>
      <c r="D25" s="1795"/>
      <c r="E25" s="317"/>
      <c r="F25" s="1795"/>
      <c r="G25" s="317"/>
      <c r="H25" s="1795"/>
      <c r="I25" s="317"/>
      <c r="J25" s="1795"/>
      <c r="K25" s="317"/>
      <c r="L25" s="1300"/>
      <c r="M25" s="2048"/>
    </row>
    <row r="26" spans="1:13" ht="16">
      <c r="A26" s="319"/>
      <c r="B26" s="318"/>
      <c r="C26" s="318"/>
      <c r="D26" s="318"/>
      <c r="E26" s="318"/>
      <c r="F26" s="1797"/>
      <c r="G26" s="318"/>
      <c r="H26" s="1797"/>
      <c r="I26" s="318"/>
      <c r="J26" s="318"/>
      <c r="K26" s="1795"/>
      <c r="L26" s="1298"/>
      <c r="M26" s="2048"/>
    </row>
    <row r="27" spans="1:13" ht="16">
      <c r="A27" s="137" t="s">
        <v>633</v>
      </c>
      <c r="B27" s="318"/>
      <c r="C27" s="318"/>
      <c r="D27" s="318"/>
      <c r="E27" s="318"/>
      <c r="F27" s="1797"/>
      <c r="G27" s="318"/>
      <c r="H27" s="1797"/>
      <c r="I27" s="318"/>
      <c r="J27" s="318"/>
      <c r="K27" s="318"/>
      <c r="M27" s="2048"/>
    </row>
    <row r="28" spans="1:13">
      <c r="A28" s="319" t="s">
        <v>634</v>
      </c>
      <c r="B28" s="318"/>
      <c r="C28" s="1794">
        <v>0.89700000000000002</v>
      </c>
      <c r="D28" s="1792"/>
      <c r="E28" s="1794">
        <v>4.0000000000000001E-3</v>
      </c>
      <c r="F28" s="1792"/>
      <c r="G28" s="1794">
        <v>0</v>
      </c>
      <c r="H28" s="1792"/>
      <c r="I28" s="1794">
        <v>0</v>
      </c>
      <c r="J28" s="317"/>
      <c r="K28" s="1795">
        <f t="shared" ref="K28:K33" si="1">ROUND(SUM(C28)+SUM(E28)-SUM(G28)+SUM(I28),3)</f>
        <v>0.90100000000000002</v>
      </c>
      <c r="L28" s="1301"/>
      <c r="M28" s="2048"/>
    </row>
    <row r="29" spans="1:13">
      <c r="A29" s="319" t="s">
        <v>635</v>
      </c>
      <c r="B29" s="318"/>
      <c r="C29" s="1794">
        <v>67.424000000000007</v>
      </c>
      <c r="D29" s="1792"/>
      <c r="E29" s="1794">
        <v>0.90500000000000003</v>
      </c>
      <c r="F29" s="1792"/>
      <c r="G29" s="1794">
        <v>1.2</v>
      </c>
      <c r="H29" s="1792"/>
      <c r="I29" s="1794">
        <v>0</v>
      </c>
      <c r="J29" s="317"/>
      <c r="K29" s="1795">
        <f t="shared" si="1"/>
        <v>67.129000000000005</v>
      </c>
      <c r="L29" s="1301"/>
      <c r="M29" s="2048"/>
    </row>
    <row r="30" spans="1:13">
      <c r="A30" s="318" t="s">
        <v>636</v>
      </c>
      <c r="B30" s="842" t="s">
        <v>616</v>
      </c>
      <c r="C30" s="1794">
        <v>580.49099999999999</v>
      </c>
      <c r="D30" s="1792"/>
      <c r="E30" s="1794">
        <v>18.763000000000002</v>
      </c>
      <c r="F30" s="1792"/>
      <c r="G30" s="1794">
        <v>7.8940000000000001</v>
      </c>
      <c r="H30" s="1792"/>
      <c r="I30" s="1794">
        <v>0</v>
      </c>
      <c r="J30" s="317"/>
      <c r="K30" s="1795">
        <f t="shared" si="1"/>
        <v>591.36</v>
      </c>
      <c r="L30" s="1301"/>
      <c r="M30" s="2048"/>
    </row>
    <row r="31" spans="1:13">
      <c r="A31" s="319" t="s">
        <v>637</v>
      </c>
      <c r="B31" s="842"/>
      <c r="C31" s="1794">
        <v>4.0000000000000001E-3</v>
      </c>
      <c r="D31" s="1792"/>
      <c r="E31" s="1794">
        <v>8.2000000000000003E-2</v>
      </c>
      <c r="F31" s="1792"/>
      <c r="G31" s="1794">
        <v>3.7999999999999999E-2</v>
      </c>
      <c r="H31" s="1792"/>
      <c r="I31" s="1794">
        <v>0</v>
      </c>
      <c r="J31" s="317"/>
      <c r="K31" s="1795">
        <f t="shared" si="1"/>
        <v>4.8000000000000001E-2</v>
      </c>
      <c r="L31" s="1301"/>
      <c r="M31" s="2048"/>
    </row>
    <row r="32" spans="1:13">
      <c r="A32" s="319" t="s">
        <v>638</v>
      </c>
      <c r="B32" s="842"/>
      <c r="C32" s="1794">
        <v>0.34899999999999998</v>
      </c>
      <c r="D32" s="1792"/>
      <c r="E32" s="1794">
        <v>4.0000000000000001E-3</v>
      </c>
      <c r="F32" s="1792"/>
      <c r="G32" s="1794">
        <v>3.2000000000000001E-2</v>
      </c>
      <c r="H32" s="1792"/>
      <c r="I32" s="1794">
        <v>0</v>
      </c>
      <c r="J32" s="317"/>
      <c r="K32" s="1795">
        <f t="shared" si="1"/>
        <v>0.32100000000000001</v>
      </c>
      <c r="L32" s="1301"/>
      <c r="M32" s="2048"/>
    </row>
    <row r="33" spans="1:13">
      <c r="A33" s="318" t="s">
        <v>639</v>
      </c>
      <c r="B33" s="318"/>
      <c r="C33" s="1794">
        <v>12.617000000000001</v>
      </c>
      <c r="D33" s="1792"/>
      <c r="E33" s="1794">
        <v>0.28599999999999998</v>
      </c>
      <c r="F33" s="1792"/>
      <c r="G33" s="1794">
        <v>0.31900000000000001</v>
      </c>
      <c r="H33" s="1792"/>
      <c r="I33" s="1794">
        <v>0</v>
      </c>
      <c r="J33" s="317"/>
      <c r="K33" s="1795">
        <f t="shared" si="1"/>
        <v>12.584</v>
      </c>
      <c r="L33" s="1301"/>
      <c r="M33" s="2048"/>
    </row>
    <row r="34" spans="1:13">
      <c r="A34" s="318" t="s">
        <v>640</v>
      </c>
      <c r="B34" s="318"/>
      <c r="C34" s="2055"/>
      <c r="D34"/>
      <c r="E34" s="1798"/>
      <c r="F34" s="1798"/>
      <c r="G34" s="1798"/>
      <c r="H34" s="1798"/>
      <c r="I34" s="1798"/>
      <c r="J34" s="138"/>
      <c r="K34" s="1799"/>
      <c r="L34" s="1301"/>
      <c r="M34" s="2048"/>
    </row>
    <row r="35" spans="1:13">
      <c r="A35" s="318" t="s">
        <v>641</v>
      </c>
      <c r="B35" s="318"/>
      <c r="C35" s="1794">
        <v>6.8540000000000001</v>
      </c>
      <c r="D35" s="1792"/>
      <c r="E35" s="1794">
        <v>0.71699999999999997</v>
      </c>
      <c r="F35" s="1792"/>
      <c r="G35" s="1794">
        <v>0.22500000000000001</v>
      </c>
      <c r="H35" s="1792"/>
      <c r="I35" s="1794">
        <v>0</v>
      </c>
      <c r="J35" s="317"/>
      <c r="K35" s="1795">
        <f t="shared" ref="K35:K60" si="2">ROUND(SUM(C35)+SUM(E35)-SUM(G35)+SUM(I35),3)</f>
        <v>7.3460000000000001</v>
      </c>
      <c r="L35" s="1301"/>
      <c r="M35" s="2048"/>
    </row>
    <row r="36" spans="1:13">
      <c r="A36" s="318" t="s">
        <v>642</v>
      </c>
      <c r="B36" s="318"/>
      <c r="C36" s="1794">
        <v>0.59599999999999997</v>
      </c>
      <c r="D36" s="1792"/>
      <c r="E36" s="1794">
        <v>0</v>
      </c>
      <c r="F36" s="1792"/>
      <c r="G36" s="1794">
        <v>0</v>
      </c>
      <c r="H36" s="1792"/>
      <c r="I36" s="1794">
        <v>0</v>
      </c>
      <c r="J36" s="317"/>
      <c r="K36" s="1795">
        <f t="shared" si="2"/>
        <v>0.59599999999999997</v>
      </c>
      <c r="L36" s="1301"/>
      <c r="M36" s="2048"/>
    </row>
    <row r="37" spans="1:13">
      <c r="A37" s="318" t="s">
        <v>643</v>
      </c>
      <c r="B37" s="318"/>
      <c r="C37" s="1794">
        <v>10.538</v>
      </c>
      <c r="D37" s="1792"/>
      <c r="E37" s="1794">
        <v>0.04</v>
      </c>
      <c r="F37" s="1792"/>
      <c r="G37" s="1794">
        <v>0</v>
      </c>
      <c r="H37" s="1792"/>
      <c r="I37" s="1794">
        <v>0</v>
      </c>
      <c r="J37" s="317"/>
      <c r="K37" s="1795">
        <f t="shared" si="2"/>
        <v>10.577999999999999</v>
      </c>
      <c r="L37" s="1301"/>
      <c r="M37" s="2048"/>
    </row>
    <row r="38" spans="1:13">
      <c r="A38" s="686" t="s">
        <v>644</v>
      </c>
      <c r="B38" s="845"/>
      <c r="C38" s="1794">
        <v>0</v>
      </c>
      <c r="D38" s="1792"/>
      <c r="E38" s="1794">
        <v>0</v>
      </c>
      <c r="F38" s="1792"/>
      <c r="G38" s="1794">
        <v>0</v>
      </c>
      <c r="H38" s="1792"/>
      <c r="I38" s="1794">
        <v>0</v>
      </c>
      <c r="J38" s="317"/>
      <c r="K38" s="1795">
        <f t="shared" si="2"/>
        <v>0</v>
      </c>
      <c r="L38" s="1301"/>
      <c r="M38" s="2048"/>
    </row>
    <row r="39" spans="1:13">
      <c r="A39" s="319" t="s">
        <v>645</v>
      </c>
      <c r="B39" s="318"/>
      <c r="C39" s="1794">
        <v>669.48500000000001</v>
      </c>
      <c r="D39" s="1792"/>
      <c r="E39" s="1794">
        <v>643.07600000000002</v>
      </c>
      <c r="F39" s="1792"/>
      <c r="G39" s="1794">
        <v>571.17100000000005</v>
      </c>
      <c r="H39" s="1792"/>
      <c r="I39" s="1794">
        <v>-0.79700000000000004</v>
      </c>
      <c r="J39" s="317"/>
      <c r="K39" s="1795">
        <f t="shared" si="2"/>
        <v>740.59299999999996</v>
      </c>
      <c r="L39" s="1301"/>
      <c r="M39" s="2048"/>
    </row>
    <row r="40" spans="1:13">
      <c r="A40" s="318" t="s">
        <v>646</v>
      </c>
      <c r="B40" s="318"/>
      <c r="C40" s="1794">
        <v>69.506</v>
      </c>
      <c r="D40" s="1792"/>
      <c r="E40" s="1794">
        <v>46.712000000000003</v>
      </c>
      <c r="F40" s="1792"/>
      <c r="G40" s="1794">
        <v>59.206000000000003</v>
      </c>
      <c r="H40" s="1792"/>
      <c r="I40" s="1794">
        <v>0.3</v>
      </c>
      <c r="J40" s="317"/>
      <c r="K40" s="1795">
        <f t="shared" si="2"/>
        <v>57.311999999999998</v>
      </c>
      <c r="L40" s="1301"/>
      <c r="M40" s="2048"/>
    </row>
    <row r="41" spans="1:13">
      <c r="A41" s="319" t="s">
        <v>647</v>
      </c>
      <c r="B41" s="318"/>
      <c r="C41" s="1794">
        <v>69.09</v>
      </c>
      <c r="D41" s="1792"/>
      <c r="E41" s="1794">
        <v>257.01100000000002</v>
      </c>
      <c r="F41" s="1792"/>
      <c r="G41" s="1794">
        <v>167.94499999999999</v>
      </c>
      <c r="H41" s="1792"/>
      <c r="I41" s="1794">
        <v>0</v>
      </c>
      <c r="J41" s="317"/>
      <c r="K41" s="1795">
        <f t="shared" si="2"/>
        <v>158.15600000000001</v>
      </c>
      <c r="L41" s="1301"/>
      <c r="M41" s="2048"/>
    </row>
    <row r="42" spans="1:13">
      <c r="A42" s="319" t="s">
        <v>648</v>
      </c>
      <c r="B42" s="318"/>
      <c r="C42" s="1794">
        <v>20.654</v>
      </c>
      <c r="D42" s="1792"/>
      <c r="E42" s="1794">
        <v>-10.446</v>
      </c>
      <c r="F42" s="1792"/>
      <c r="G42" s="1794">
        <v>0.48</v>
      </c>
      <c r="H42" s="1792"/>
      <c r="I42" s="1794">
        <v>0</v>
      </c>
      <c r="J42" s="317"/>
      <c r="K42" s="1795">
        <f t="shared" si="2"/>
        <v>9.7279999999999998</v>
      </c>
      <c r="L42" s="1301"/>
      <c r="M42" s="2048"/>
    </row>
    <row r="43" spans="1:13">
      <c r="A43" s="318" t="s">
        <v>649</v>
      </c>
      <c r="B43" s="318"/>
      <c r="C43" s="1794">
        <v>-7.9000000000000001E-2</v>
      </c>
      <c r="D43" s="1792"/>
      <c r="E43" s="1794">
        <v>0</v>
      </c>
      <c r="F43" s="1792"/>
      <c r="G43" s="1794">
        <v>2.9000000000000001E-2</v>
      </c>
      <c r="H43" s="1792"/>
      <c r="I43" s="1794">
        <v>0</v>
      </c>
      <c r="J43" s="317"/>
      <c r="K43" s="1795">
        <f t="shared" si="2"/>
        <v>-0.108</v>
      </c>
      <c r="L43" s="1301"/>
      <c r="M43" s="2048"/>
    </row>
    <row r="44" spans="1:13">
      <c r="A44" s="318" t="s">
        <v>650</v>
      </c>
      <c r="B44" s="318"/>
      <c r="C44" s="1794">
        <v>16.724</v>
      </c>
      <c r="D44" s="1792"/>
      <c r="E44" s="1794">
        <v>3.46</v>
      </c>
      <c r="F44" s="1792"/>
      <c r="G44" s="1794">
        <v>8.3949999999999996</v>
      </c>
      <c r="H44" s="1792"/>
      <c r="I44" s="1794">
        <v>4.7140000000000004</v>
      </c>
      <c r="J44" s="317"/>
      <c r="K44" s="1795">
        <f t="shared" si="2"/>
        <v>16.503</v>
      </c>
      <c r="L44" s="1301"/>
      <c r="M44" s="2048"/>
    </row>
    <row r="45" spans="1:13">
      <c r="A45" s="318" t="s">
        <v>651</v>
      </c>
      <c r="B45" s="318"/>
      <c r="C45" s="1794">
        <v>139.22499999999999</v>
      </c>
      <c r="D45" s="1792"/>
      <c r="E45" s="1794">
        <v>0.874</v>
      </c>
      <c r="F45" s="1792"/>
      <c r="G45" s="1794">
        <v>2.6619999999999999</v>
      </c>
      <c r="H45" s="1792"/>
      <c r="I45" s="1794">
        <v>0</v>
      </c>
      <c r="J45" s="317"/>
      <c r="K45" s="1795">
        <f t="shared" si="2"/>
        <v>137.43700000000001</v>
      </c>
      <c r="L45" s="1301"/>
      <c r="M45" s="2048"/>
    </row>
    <row r="46" spans="1:13">
      <c r="A46" s="318" t="s">
        <v>652</v>
      </c>
      <c r="B46" s="318"/>
      <c r="C46" s="1794">
        <v>-8.3000000000000004E-2</v>
      </c>
      <c r="D46" s="1792"/>
      <c r="E46" s="1794">
        <v>3.1909999999999998</v>
      </c>
      <c r="F46" s="1792"/>
      <c r="G46" s="1794">
        <v>1.444</v>
      </c>
      <c r="H46" s="1792"/>
      <c r="I46" s="1794">
        <v>-2.6019999999999999</v>
      </c>
      <c r="J46" s="317"/>
      <c r="K46" s="1795">
        <f t="shared" si="2"/>
        <v>-0.93799999999999994</v>
      </c>
      <c r="L46" s="1301"/>
      <c r="M46" s="2048"/>
    </row>
    <row r="47" spans="1:13">
      <c r="A47" s="318" t="s">
        <v>653</v>
      </c>
      <c r="B47" s="318"/>
      <c r="C47" s="1794">
        <v>14.069000000000001</v>
      </c>
      <c r="D47" s="1792"/>
      <c r="E47" s="1794">
        <v>0.04</v>
      </c>
      <c r="F47" s="1792"/>
      <c r="G47" s="1794">
        <v>4.266</v>
      </c>
      <c r="H47" s="1792"/>
      <c r="I47" s="1794">
        <v>0</v>
      </c>
      <c r="J47" s="317"/>
      <c r="K47" s="1795">
        <f t="shared" si="2"/>
        <v>9.843</v>
      </c>
      <c r="L47" s="1301"/>
      <c r="M47" s="2048"/>
    </row>
    <row r="48" spans="1:13">
      <c r="A48" s="318" t="s">
        <v>654</v>
      </c>
      <c r="B48" s="318"/>
      <c r="C48" s="1794">
        <v>11.090999999999999</v>
      </c>
      <c r="D48" s="1792"/>
      <c r="E48" s="1794">
        <v>0.51200000000000001</v>
      </c>
      <c r="F48" s="1792"/>
      <c r="G48" s="1794">
        <v>0.109</v>
      </c>
      <c r="H48" s="1792"/>
      <c r="I48" s="1794">
        <v>0</v>
      </c>
      <c r="J48" s="317"/>
      <c r="K48" s="1795">
        <f t="shared" si="2"/>
        <v>11.494</v>
      </c>
      <c r="L48" s="1301"/>
      <c r="M48" s="2048"/>
    </row>
    <row r="49" spans="1:13">
      <c r="A49" s="319" t="s">
        <v>655</v>
      </c>
      <c r="B49" s="318"/>
      <c r="C49" s="1794">
        <v>0.56799999999999995</v>
      </c>
      <c r="D49" s="1792"/>
      <c r="E49" s="1794">
        <v>3.0000000000000001E-3</v>
      </c>
      <c r="F49" s="1792"/>
      <c r="G49" s="1794">
        <v>0</v>
      </c>
      <c r="H49" s="1792"/>
      <c r="I49" s="1794">
        <v>0</v>
      </c>
      <c r="J49" s="317"/>
      <c r="K49" s="1795">
        <f t="shared" si="2"/>
        <v>0.57099999999999995</v>
      </c>
      <c r="L49" s="1301"/>
      <c r="M49" s="2048"/>
    </row>
    <row r="50" spans="1:13">
      <c r="A50" s="318" t="s">
        <v>656</v>
      </c>
      <c r="B50" s="318"/>
      <c r="C50" s="1794">
        <v>496.892</v>
      </c>
      <c r="D50" s="1792"/>
      <c r="E50" s="1794">
        <v>91.769000000000005</v>
      </c>
      <c r="F50" s="1792"/>
      <c r="G50" s="1794">
        <v>58.942999999999998</v>
      </c>
      <c r="H50" s="1792"/>
      <c r="I50" s="1794">
        <v>-7.8E-2</v>
      </c>
      <c r="J50" s="317"/>
      <c r="K50" s="1795">
        <f t="shared" si="2"/>
        <v>529.64</v>
      </c>
      <c r="L50" s="1301"/>
      <c r="M50" s="2048"/>
    </row>
    <row r="51" spans="1:13">
      <c r="A51" s="318" t="s">
        <v>657</v>
      </c>
      <c r="B51" s="318"/>
      <c r="C51" s="1794">
        <v>-43.615000000000002</v>
      </c>
      <c r="D51" s="1792"/>
      <c r="E51" s="1794">
        <v>0.14899999999999999</v>
      </c>
      <c r="F51" s="1792"/>
      <c r="G51" s="1794">
        <v>3.1480000000000001</v>
      </c>
      <c r="H51" s="1792"/>
      <c r="I51" s="1794">
        <v>0</v>
      </c>
      <c r="J51" s="317"/>
      <c r="K51" s="1795">
        <f t="shared" si="2"/>
        <v>-46.613999999999997</v>
      </c>
      <c r="L51" s="1301"/>
      <c r="M51" s="2048"/>
    </row>
    <row r="52" spans="1:13">
      <c r="A52" s="318" t="s">
        <v>658</v>
      </c>
      <c r="B52" s="318"/>
      <c r="C52" s="1794">
        <v>0.08</v>
      </c>
      <c r="D52" s="1792"/>
      <c r="E52" s="1794">
        <v>1E-3</v>
      </c>
      <c r="F52" s="1792"/>
      <c r="G52" s="1794">
        <v>0</v>
      </c>
      <c r="H52" s="1792"/>
      <c r="I52" s="1794">
        <v>0</v>
      </c>
      <c r="J52" s="317"/>
      <c r="K52" s="1795">
        <f t="shared" si="2"/>
        <v>8.1000000000000003E-2</v>
      </c>
      <c r="L52" s="1301"/>
      <c r="M52" s="2048"/>
    </row>
    <row r="53" spans="1:13">
      <c r="A53" s="318" t="s">
        <v>659</v>
      </c>
      <c r="B53" s="318"/>
      <c r="C53" s="1794">
        <v>14.148</v>
      </c>
      <c r="D53" s="1792"/>
      <c r="E53" s="1794">
        <v>0.129</v>
      </c>
      <c r="F53" s="1792"/>
      <c r="G53" s="1794">
        <v>0.108</v>
      </c>
      <c r="H53" s="1792"/>
      <c r="I53" s="1794">
        <v>0</v>
      </c>
      <c r="J53" s="317"/>
      <c r="K53" s="1795">
        <f t="shared" si="2"/>
        <v>14.169</v>
      </c>
      <c r="L53" s="1301"/>
      <c r="M53" s="2048"/>
    </row>
    <row r="54" spans="1:13">
      <c r="A54" s="318" t="s">
        <v>660</v>
      </c>
      <c r="B54" s="318"/>
      <c r="C54" s="1794">
        <v>0</v>
      </c>
      <c r="D54" s="1792"/>
      <c r="E54" s="1794">
        <v>0</v>
      </c>
      <c r="F54" s="1792"/>
      <c r="G54" s="1794">
        <v>0</v>
      </c>
      <c r="H54" s="1792"/>
      <c r="I54" s="1794">
        <v>0</v>
      </c>
      <c r="J54" s="317"/>
      <c r="K54" s="1795">
        <f t="shared" si="2"/>
        <v>0</v>
      </c>
      <c r="L54" s="1301"/>
      <c r="M54" s="2048"/>
    </row>
    <row r="55" spans="1:13">
      <c r="A55" s="319" t="s">
        <v>661</v>
      </c>
      <c r="B55" s="318"/>
      <c r="C55" s="1794">
        <v>0.51300000000000001</v>
      </c>
      <c r="D55" s="1792"/>
      <c r="E55" s="1794">
        <v>1E-3</v>
      </c>
      <c r="F55" s="1792"/>
      <c r="G55" s="1794">
        <v>0</v>
      </c>
      <c r="H55" s="1792"/>
      <c r="I55" s="1794">
        <v>0</v>
      </c>
      <c r="J55" s="317"/>
      <c r="K55" s="1795">
        <f t="shared" si="2"/>
        <v>0.51400000000000001</v>
      </c>
      <c r="L55" s="1301"/>
      <c r="M55" s="2048"/>
    </row>
    <row r="56" spans="1:13">
      <c r="A56" s="319" t="s">
        <v>662</v>
      </c>
      <c r="B56" s="318"/>
      <c r="C56" s="1794">
        <v>0</v>
      </c>
      <c r="D56" s="1792"/>
      <c r="E56" s="1794">
        <v>0</v>
      </c>
      <c r="F56" s="1792"/>
      <c r="G56" s="1794">
        <v>0</v>
      </c>
      <c r="H56" s="1792"/>
      <c r="I56" s="1794">
        <v>0</v>
      </c>
      <c r="J56" s="317"/>
      <c r="K56" s="1795">
        <f t="shared" si="2"/>
        <v>0</v>
      </c>
      <c r="L56" s="1301"/>
      <c r="M56" s="2048"/>
    </row>
    <row r="57" spans="1:13">
      <c r="A57" s="319" t="s">
        <v>663</v>
      </c>
      <c r="B57" s="318"/>
      <c r="C57" s="1794">
        <v>0</v>
      </c>
      <c r="D57" s="1792"/>
      <c r="E57" s="1794">
        <v>0</v>
      </c>
      <c r="F57" s="1792"/>
      <c r="G57" s="1794">
        <v>0</v>
      </c>
      <c r="H57" s="1792"/>
      <c r="I57" s="1794">
        <v>0</v>
      </c>
      <c r="J57" s="317"/>
      <c r="K57" s="1795">
        <f t="shared" si="2"/>
        <v>0</v>
      </c>
      <c r="L57" s="1301"/>
      <c r="M57" s="2048"/>
    </row>
    <row r="58" spans="1:13">
      <c r="A58" s="319" t="s">
        <v>664</v>
      </c>
      <c r="B58" s="318"/>
      <c r="C58" s="1794">
        <v>0.33300000000000002</v>
      </c>
      <c r="D58" s="1792"/>
      <c r="E58" s="1794">
        <v>2E-3</v>
      </c>
      <c r="F58" s="1792"/>
      <c r="G58" s="1794">
        <v>0</v>
      </c>
      <c r="H58" s="1792"/>
      <c r="I58" s="1794">
        <v>0</v>
      </c>
      <c r="J58" s="317"/>
      <c r="K58" s="1795">
        <f>ROUND(SUM(C58)+SUM(E58)-SUM(G58)+SUM(I58),3)</f>
        <v>0.33500000000000002</v>
      </c>
      <c r="L58" s="1301"/>
      <c r="M58" s="2048"/>
    </row>
    <row r="59" spans="1:13">
      <c r="A59" s="319" t="s">
        <v>665</v>
      </c>
      <c r="B59" s="318"/>
      <c r="C59" s="1794">
        <v>2993.7860000000001</v>
      </c>
      <c r="D59" s="1792"/>
      <c r="E59" s="1794">
        <v>226.637</v>
      </c>
      <c r="F59" s="1792"/>
      <c r="G59" s="1794">
        <v>290.86099999999999</v>
      </c>
      <c r="H59" s="1792"/>
      <c r="I59" s="1794">
        <v>47.603000000000002</v>
      </c>
      <c r="J59" s="317"/>
      <c r="K59" s="1795">
        <f t="shared" si="2"/>
        <v>2977.165</v>
      </c>
      <c r="L59" s="1301"/>
      <c r="M59" s="2048"/>
    </row>
    <row r="60" spans="1:13">
      <c r="A60" s="318" t="s">
        <v>666</v>
      </c>
      <c r="B60" s="318"/>
      <c r="C60" s="1794">
        <v>57.670999999999999</v>
      </c>
      <c r="D60" s="1792"/>
      <c r="E60" s="1794">
        <v>0.13300000000000001</v>
      </c>
      <c r="F60" s="1792"/>
      <c r="G60" s="1794">
        <v>9.3829999999999991</v>
      </c>
      <c r="H60" s="1792"/>
      <c r="I60" s="1794">
        <v>0</v>
      </c>
      <c r="J60" s="317"/>
      <c r="K60" s="1795">
        <f t="shared" si="2"/>
        <v>48.420999999999999</v>
      </c>
      <c r="L60" s="1301"/>
      <c r="M60" s="2048"/>
    </row>
    <row r="61" spans="1:13">
      <c r="A61" s="318"/>
      <c r="B61" s="318"/>
      <c r="C61" s="1794"/>
      <c r="D61" s="1792"/>
      <c r="E61" s="1794"/>
      <c r="F61" s="1792"/>
      <c r="G61" s="1794"/>
      <c r="H61" s="1792"/>
      <c r="I61" s="1794"/>
      <c r="J61" s="317"/>
      <c r="K61" s="1795"/>
      <c r="L61" s="1301"/>
      <c r="M61" s="2048"/>
    </row>
    <row r="62" spans="1:13">
      <c r="A62" s="137" t="s">
        <v>667</v>
      </c>
      <c r="B62" s="318"/>
      <c r="C62" s="1794"/>
      <c r="D62" s="1792"/>
      <c r="E62" s="1794"/>
      <c r="F62" s="1792"/>
      <c r="G62" s="1794"/>
      <c r="H62" s="1792"/>
      <c r="I62" s="1794"/>
      <c r="J62" s="317"/>
      <c r="K62" s="1795"/>
      <c r="L62" s="1301"/>
      <c r="M62" s="2048"/>
    </row>
    <row r="63" spans="1:13">
      <c r="A63" s="318" t="s">
        <v>668</v>
      </c>
      <c r="B63" s="317"/>
      <c r="C63" s="1794">
        <v>5.8999999999999997E-2</v>
      </c>
      <c r="D63" s="1792"/>
      <c r="E63" s="1794">
        <v>0</v>
      </c>
      <c r="F63" s="1792"/>
      <c r="G63" s="1794">
        <v>0</v>
      </c>
      <c r="H63" s="1792"/>
      <c r="I63" s="1794">
        <v>0</v>
      </c>
      <c r="J63" s="317"/>
      <c r="K63" s="1795">
        <f>ROUND(SUM(C63)+SUM(E63)-SUM(G63)+SUM(I63),3)</f>
        <v>5.8999999999999997E-2</v>
      </c>
      <c r="L63" s="1301"/>
      <c r="M63" s="2048"/>
    </row>
    <row r="64" spans="1:13">
      <c r="A64" s="318" t="s">
        <v>669</v>
      </c>
      <c r="B64" s="318"/>
      <c r="C64" s="1794">
        <v>1931.6369999999999</v>
      </c>
      <c r="D64" s="1792"/>
      <c r="E64" s="1794">
        <v>689.88400000000001</v>
      </c>
      <c r="F64" s="1792"/>
      <c r="G64" s="1794">
        <v>653.58900000000006</v>
      </c>
      <c r="H64" s="1792"/>
      <c r="I64" s="1794">
        <v>217.559</v>
      </c>
      <c r="J64" s="317"/>
      <c r="K64" s="1795">
        <f>ROUND(SUM(C64)+SUM(E64)-SUM(G64)+SUM(I64),3)</f>
        <v>2185.491</v>
      </c>
      <c r="L64" s="1301"/>
      <c r="M64" s="2048"/>
    </row>
    <row r="65" spans="1:13">
      <c r="A65" s="319" t="s">
        <v>670</v>
      </c>
      <c r="B65" s="318"/>
      <c r="C65" s="1794">
        <v>0.55000000000000004</v>
      </c>
      <c r="D65" s="1792"/>
      <c r="E65" s="1794">
        <v>9.7000000000000003E-2</v>
      </c>
      <c r="F65" s="1792"/>
      <c r="G65" s="1794">
        <v>0.109</v>
      </c>
      <c r="H65" s="1792"/>
      <c r="I65" s="1794">
        <v>0</v>
      </c>
      <c r="J65" s="317"/>
      <c r="K65" s="1795">
        <f>ROUND(SUM(C65)+SUM(E65)-SUM(G65)+SUM(I65),3)</f>
        <v>0.53800000000000003</v>
      </c>
      <c r="L65" s="1301"/>
      <c r="M65" s="2048"/>
    </row>
    <row r="66" spans="1:13">
      <c r="A66" s="318" t="s">
        <v>671</v>
      </c>
      <c r="B66" s="318"/>
      <c r="C66" s="1794">
        <v>0.32700000000000001</v>
      </c>
      <c r="D66" s="1792"/>
      <c r="E66" s="1794">
        <v>1E-3</v>
      </c>
      <c r="F66" s="1792"/>
      <c r="G66" s="1794">
        <v>0.13400000000000001</v>
      </c>
      <c r="H66" s="1792"/>
      <c r="I66" s="1794">
        <v>0</v>
      </c>
      <c r="J66" s="317"/>
      <c r="K66" s="1795">
        <f>ROUND(SUM(C66)+SUM(E66)-SUM(G66)+SUM(I66),3)</f>
        <v>0.19400000000000001</v>
      </c>
      <c r="L66" s="1301"/>
      <c r="M66" s="2048"/>
    </row>
    <row r="67" spans="1:13">
      <c r="A67" s="318" t="s">
        <v>672</v>
      </c>
      <c r="B67" s="318"/>
      <c r="C67" s="2055"/>
      <c r="D67"/>
      <c r="E67" s="1800"/>
      <c r="F67" s="605"/>
      <c r="G67" s="1800"/>
      <c r="H67" s="605"/>
      <c r="I67" s="1801"/>
      <c r="J67" s="318"/>
      <c r="K67" s="1795" t="s">
        <v>103</v>
      </c>
      <c r="L67" s="1301"/>
      <c r="M67" s="2048"/>
    </row>
    <row r="68" spans="1:13">
      <c r="A68" s="318" t="s">
        <v>673</v>
      </c>
      <c r="B68" s="318"/>
      <c r="C68" s="1794">
        <v>182.696</v>
      </c>
      <c r="D68" s="1792"/>
      <c r="E68" s="1794">
        <v>0.68700000000000006</v>
      </c>
      <c r="F68" s="1792"/>
      <c r="G68" s="1794">
        <v>0.76700000000000002</v>
      </c>
      <c r="H68" s="1792"/>
      <c r="I68" s="1794">
        <v>0</v>
      </c>
      <c r="J68" s="317"/>
      <c r="K68" s="1795">
        <f t="shared" ref="K68:K73" si="3">ROUND(SUM(C68)+SUM(E68)-SUM(G68)+SUM(I68),3)</f>
        <v>182.61600000000001</v>
      </c>
      <c r="L68" s="1301"/>
      <c r="M68" s="2048"/>
    </row>
    <row r="69" spans="1:13">
      <c r="A69" s="318" t="s">
        <v>674</v>
      </c>
      <c r="B69" s="139"/>
      <c r="C69" s="1794">
        <v>0.46600000000000003</v>
      </c>
      <c r="D69" s="1792"/>
      <c r="E69" s="1794">
        <v>1E-3</v>
      </c>
      <c r="F69" s="1792"/>
      <c r="G69" s="1794">
        <v>1.6E-2</v>
      </c>
      <c r="H69" s="1792"/>
      <c r="I69" s="1794">
        <v>0</v>
      </c>
      <c r="J69" s="317"/>
      <c r="K69" s="1795">
        <f t="shared" si="3"/>
        <v>0.45100000000000001</v>
      </c>
      <c r="L69" s="1301"/>
      <c r="M69" s="2048"/>
    </row>
    <row r="70" spans="1:13">
      <c r="A70" s="318" t="s">
        <v>675</v>
      </c>
      <c r="B70" s="318"/>
      <c r="C70" s="1794">
        <v>2.7E-2</v>
      </c>
      <c r="D70" s="1792"/>
      <c r="E70" s="1794">
        <v>0</v>
      </c>
      <c r="F70" s="1792"/>
      <c r="G70" s="1794">
        <v>0</v>
      </c>
      <c r="H70" s="1792"/>
      <c r="I70" s="1794">
        <v>0</v>
      </c>
      <c r="J70" s="317"/>
      <c r="K70" s="1795">
        <f t="shared" si="3"/>
        <v>2.7E-2</v>
      </c>
      <c r="L70" s="1301"/>
      <c r="M70" s="2048"/>
    </row>
    <row r="71" spans="1:13">
      <c r="A71" s="319" t="s">
        <v>676</v>
      </c>
      <c r="B71" s="318"/>
      <c r="C71" s="1794">
        <v>4.3029999999999999</v>
      </c>
      <c r="D71" s="1792"/>
      <c r="E71" s="1794">
        <v>1.0999999999999999E-2</v>
      </c>
      <c r="F71" s="1792"/>
      <c r="G71" s="1794">
        <v>-1.4E-2</v>
      </c>
      <c r="H71" s="1792"/>
      <c r="I71" s="1794">
        <v>0</v>
      </c>
      <c r="J71" s="317"/>
      <c r="K71" s="1795">
        <f t="shared" si="3"/>
        <v>4.3280000000000003</v>
      </c>
      <c r="L71" s="1301"/>
      <c r="M71" s="2048"/>
    </row>
    <row r="72" spans="1:13">
      <c r="A72" s="318" t="s">
        <v>677</v>
      </c>
      <c r="B72" s="318"/>
      <c r="C72" s="1794">
        <v>-26.274000000000001</v>
      </c>
      <c r="D72" s="1792"/>
      <c r="E72" s="1794">
        <v>0</v>
      </c>
      <c r="F72" s="1792"/>
      <c r="G72" s="1794">
        <v>0.34899999999999998</v>
      </c>
      <c r="H72" s="1792"/>
      <c r="I72" s="1794">
        <v>0</v>
      </c>
      <c r="J72" s="317"/>
      <c r="K72" s="1795">
        <f t="shared" si="3"/>
        <v>-26.623000000000001</v>
      </c>
      <c r="L72" s="1301"/>
      <c r="M72" s="2048"/>
    </row>
    <row r="73" spans="1:13">
      <c r="A73" s="318" t="s">
        <v>678</v>
      </c>
      <c r="B73" s="318"/>
      <c r="C73" s="1794">
        <v>0.155</v>
      </c>
      <c r="D73" s="1792"/>
      <c r="E73" s="1794">
        <v>1E-3</v>
      </c>
      <c r="F73" s="1792"/>
      <c r="G73" s="1794">
        <v>0</v>
      </c>
      <c r="H73" s="1792"/>
      <c r="I73" s="1794">
        <v>0</v>
      </c>
      <c r="J73" s="317"/>
      <c r="K73" s="1795">
        <f t="shared" si="3"/>
        <v>0.156</v>
      </c>
      <c r="L73" s="1301"/>
      <c r="M73" s="2048"/>
    </row>
    <row r="74" spans="1:13">
      <c r="A74" s="318" t="s">
        <v>679</v>
      </c>
      <c r="B74" s="318"/>
      <c r="C74" s="2055"/>
      <c r="D74"/>
      <c r="E74" s="1800"/>
      <c r="F74" s="605"/>
      <c r="G74" s="1800"/>
      <c r="H74" s="605"/>
      <c r="I74" s="1800"/>
      <c r="J74" s="318"/>
      <c r="K74" s="1795"/>
      <c r="L74" s="1301"/>
      <c r="M74" s="2048"/>
    </row>
    <row r="75" spans="1:13">
      <c r="A75" s="318" t="s">
        <v>680</v>
      </c>
      <c r="B75" s="318"/>
      <c r="C75" s="1794">
        <v>1E-3</v>
      </c>
      <c r="D75" s="1792"/>
      <c r="E75" s="1794">
        <v>0</v>
      </c>
      <c r="F75" s="1792"/>
      <c r="G75" s="1794">
        <v>0</v>
      </c>
      <c r="H75" s="1792"/>
      <c r="I75" s="1794">
        <v>0</v>
      </c>
      <c r="J75" s="317"/>
      <c r="K75" s="1795">
        <f t="shared" ref="K75:K90" si="4">ROUND(SUM(C75)+SUM(E75)-SUM(G75)+SUM(I75),3)</f>
        <v>1E-3</v>
      </c>
      <c r="L75" s="1301"/>
      <c r="M75" s="2048"/>
    </row>
    <row r="76" spans="1:13">
      <c r="A76" s="318" t="s">
        <v>681</v>
      </c>
      <c r="B76" s="318"/>
      <c r="C76" s="1794">
        <v>-58.561</v>
      </c>
      <c r="D76" s="1792"/>
      <c r="E76" s="1794">
        <v>0</v>
      </c>
      <c r="F76" s="1792"/>
      <c r="G76" s="1794">
        <v>2.734</v>
      </c>
      <c r="H76" s="1792"/>
      <c r="I76" s="1794">
        <v>0</v>
      </c>
      <c r="J76" s="317"/>
      <c r="K76" s="1795">
        <f t="shared" si="4"/>
        <v>-61.295000000000002</v>
      </c>
      <c r="L76" s="1301"/>
      <c r="M76" s="2048"/>
    </row>
    <row r="77" spans="1:13">
      <c r="A77" s="318" t="s">
        <v>682</v>
      </c>
      <c r="B77" s="318"/>
      <c r="C77" s="1794">
        <v>17.411000000000001</v>
      </c>
      <c r="D77" s="1792"/>
      <c r="E77" s="1794">
        <v>3.8879999999999999</v>
      </c>
      <c r="F77" s="1792"/>
      <c r="G77" s="1794">
        <v>4.952</v>
      </c>
      <c r="H77" s="1792"/>
      <c r="I77" s="1794">
        <v>0</v>
      </c>
      <c r="J77" s="317"/>
      <c r="K77" s="1795">
        <f t="shared" si="4"/>
        <v>16.347000000000001</v>
      </c>
      <c r="L77" s="1301"/>
      <c r="M77" s="2048"/>
    </row>
    <row r="78" spans="1:13">
      <c r="A78" s="318" t="s">
        <v>683</v>
      </c>
      <c r="B78" s="318"/>
      <c r="C78" s="1794">
        <v>0.36099999999999999</v>
      </c>
      <c r="D78" s="1792"/>
      <c r="E78" s="1794">
        <v>2E-3</v>
      </c>
      <c r="F78" s="1792"/>
      <c r="G78" s="1794">
        <v>0</v>
      </c>
      <c r="H78" s="1792"/>
      <c r="I78" s="1794">
        <v>0</v>
      </c>
      <c r="J78" s="317"/>
      <c r="K78" s="1795">
        <f t="shared" si="4"/>
        <v>0.36299999999999999</v>
      </c>
      <c r="L78" s="1301"/>
      <c r="M78" s="2048"/>
    </row>
    <row r="79" spans="1:13">
      <c r="A79" s="319" t="s">
        <v>684</v>
      </c>
      <c r="B79" s="318"/>
      <c r="C79" s="1794">
        <v>1001.276</v>
      </c>
      <c r="D79" s="1792"/>
      <c r="E79" s="1794">
        <v>19.960999999999999</v>
      </c>
      <c r="F79" s="1792"/>
      <c r="G79" s="1794">
        <v>52.442</v>
      </c>
      <c r="H79" s="1792"/>
      <c r="I79" s="1794">
        <v>0</v>
      </c>
      <c r="J79" s="317"/>
      <c r="K79" s="1795">
        <f t="shared" si="4"/>
        <v>968.79499999999996</v>
      </c>
      <c r="L79" s="1301"/>
      <c r="M79" s="2048"/>
    </row>
    <row r="80" spans="1:13">
      <c r="A80" s="318" t="s">
        <v>685</v>
      </c>
      <c r="B80" s="318"/>
      <c r="C80" s="1794">
        <v>61.71</v>
      </c>
      <c r="D80" s="1792"/>
      <c r="E80" s="1794">
        <v>2.597</v>
      </c>
      <c r="F80" s="1792"/>
      <c r="G80" s="1794">
        <v>2E-3</v>
      </c>
      <c r="H80" s="1792"/>
      <c r="I80" s="1794">
        <v>0</v>
      </c>
      <c r="J80" s="317"/>
      <c r="K80" s="1795">
        <f t="shared" si="4"/>
        <v>64.305000000000007</v>
      </c>
      <c r="L80" s="1301"/>
      <c r="M80" s="2048"/>
    </row>
    <row r="81" spans="1:13">
      <c r="A81" s="319" t="s">
        <v>686</v>
      </c>
      <c r="B81" s="318"/>
      <c r="C81" s="1794">
        <v>131.54900000000001</v>
      </c>
      <c r="D81" s="1792"/>
      <c r="E81" s="1794">
        <v>0.49299999999999999</v>
      </c>
      <c r="F81" s="1792"/>
      <c r="G81" s="1794">
        <v>13.007999999999999</v>
      </c>
      <c r="H81" s="1792"/>
      <c r="I81" s="1794">
        <v>13.007999999999999</v>
      </c>
      <c r="J81" s="317"/>
      <c r="K81" s="1795">
        <f t="shared" si="4"/>
        <v>132.042</v>
      </c>
      <c r="L81" s="1301"/>
      <c r="M81" s="2048"/>
    </row>
    <row r="82" spans="1:13">
      <c r="A82" s="319" t="s">
        <v>687</v>
      </c>
      <c r="B82" s="318"/>
      <c r="C82" s="1794">
        <v>116.173</v>
      </c>
      <c r="D82" s="1792"/>
      <c r="E82" s="1794">
        <v>12.052</v>
      </c>
      <c r="F82" s="1792"/>
      <c r="G82" s="1794">
        <v>0.35399999999999998</v>
      </c>
      <c r="H82" s="1792"/>
      <c r="I82" s="1794">
        <v>0</v>
      </c>
      <c r="J82" s="317"/>
      <c r="K82" s="1795">
        <f t="shared" si="4"/>
        <v>127.871</v>
      </c>
      <c r="L82" s="1301"/>
      <c r="M82" s="2048"/>
    </row>
    <row r="83" spans="1:13">
      <c r="A83" s="319" t="s">
        <v>688</v>
      </c>
      <c r="B83" s="318"/>
      <c r="C83" s="1794">
        <v>5.9859999999999998</v>
      </c>
      <c r="D83" s="1792"/>
      <c r="E83" s="1794">
        <v>0.27200000000000002</v>
      </c>
      <c r="F83" s="1792"/>
      <c r="G83" s="1794">
        <v>0.47199999999999998</v>
      </c>
      <c r="H83" s="1792"/>
      <c r="I83" s="1794">
        <v>1.236</v>
      </c>
      <c r="J83" s="317"/>
      <c r="K83" s="1795">
        <f t="shared" si="4"/>
        <v>7.0220000000000002</v>
      </c>
      <c r="L83" s="1301"/>
      <c r="M83" s="2048"/>
    </row>
    <row r="84" spans="1:13">
      <c r="A84" s="319" t="s">
        <v>689</v>
      </c>
      <c r="B84" s="318"/>
      <c r="C84" s="1794">
        <v>327.27600000000001</v>
      </c>
      <c r="D84" s="1792"/>
      <c r="E84" s="1794">
        <v>27.629000000000001</v>
      </c>
      <c r="F84" s="1792"/>
      <c r="G84" s="1794">
        <v>3.47</v>
      </c>
      <c r="H84" s="1792"/>
      <c r="I84" s="1794">
        <v>0</v>
      </c>
      <c r="J84" s="317"/>
      <c r="K84" s="1795">
        <f t="shared" si="4"/>
        <v>351.435</v>
      </c>
      <c r="L84" s="1301"/>
      <c r="M84" s="2048"/>
    </row>
    <row r="85" spans="1:13">
      <c r="A85" s="319" t="s">
        <v>690</v>
      </c>
      <c r="B85" s="318"/>
      <c r="C85" s="1794">
        <v>59.220999999999997</v>
      </c>
      <c r="D85" s="1792"/>
      <c r="E85" s="1794">
        <v>2.0470000000000002</v>
      </c>
      <c r="F85" s="1792"/>
      <c r="G85" s="1794">
        <v>3.5390000000000001</v>
      </c>
      <c r="H85" s="1792"/>
      <c r="I85" s="1794">
        <v>0</v>
      </c>
      <c r="J85" s="317"/>
      <c r="K85" s="1795">
        <f>ROUND(SUM(C85)+SUM(E85)-SUM(G85)+SUM(I85),3)</f>
        <v>57.728999999999999</v>
      </c>
      <c r="L85" s="1301"/>
      <c r="M85" s="2048"/>
    </row>
    <row r="86" spans="1:13">
      <c r="A86" s="319" t="s">
        <v>691</v>
      </c>
      <c r="B86" s="318"/>
      <c r="C86" s="1794">
        <v>392.67700000000002</v>
      </c>
      <c r="D86" s="1792"/>
      <c r="E86" s="1794">
        <v>1.4910000000000001</v>
      </c>
      <c r="F86" s="1792"/>
      <c r="G86" s="1794">
        <v>0</v>
      </c>
      <c r="H86" s="1792"/>
      <c r="I86" s="1794">
        <v>0</v>
      </c>
      <c r="J86" s="317"/>
      <c r="K86" s="1795">
        <f t="shared" si="4"/>
        <v>394.16800000000001</v>
      </c>
      <c r="L86" s="1301"/>
      <c r="M86" s="2048"/>
    </row>
    <row r="87" spans="1:13">
      <c r="A87" s="319" t="s">
        <v>692</v>
      </c>
      <c r="B87" s="318"/>
      <c r="C87" s="1794">
        <v>0.154</v>
      </c>
      <c r="D87" s="1792"/>
      <c r="E87" s="1794">
        <v>1E-3</v>
      </c>
      <c r="F87" s="1792"/>
      <c r="G87" s="1794">
        <v>0</v>
      </c>
      <c r="H87" s="1792"/>
      <c r="I87" s="1794">
        <v>0</v>
      </c>
      <c r="J87" s="317"/>
      <c r="K87" s="1795">
        <f t="shared" si="4"/>
        <v>0.155</v>
      </c>
      <c r="L87" s="1301"/>
      <c r="M87" s="2048"/>
    </row>
    <row r="88" spans="1:13">
      <c r="A88" s="319" t="s">
        <v>693</v>
      </c>
      <c r="B88" s="318"/>
      <c r="C88" s="1794">
        <v>47.731000000000002</v>
      </c>
      <c r="D88" s="1792"/>
      <c r="E88" s="1794">
        <v>0.60599999999999998</v>
      </c>
      <c r="F88" s="1792"/>
      <c r="G88" s="1794">
        <v>0</v>
      </c>
      <c r="H88" s="1792"/>
      <c r="I88" s="1794">
        <v>0</v>
      </c>
      <c r="J88" s="317"/>
      <c r="K88" s="1795">
        <f>ROUND(SUM(C88)+SUM(E88)-SUM(G88)+SUM(I88),3)</f>
        <v>48.337000000000003</v>
      </c>
      <c r="L88" s="1301"/>
      <c r="M88" s="2048"/>
    </row>
    <row r="89" spans="1:13">
      <c r="A89" s="319" t="s">
        <v>694</v>
      </c>
      <c r="B89" s="318"/>
      <c r="C89" s="1794">
        <v>93.358999999999995</v>
      </c>
      <c r="D89" s="1792"/>
      <c r="E89" s="1794">
        <v>101.657</v>
      </c>
      <c r="F89" s="1792"/>
      <c r="G89" s="1794">
        <v>0</v>
      </c>
      <c r="H89" s="1792"/>
      <c r="I89" s="1794">
        <v>0</v>
      </c>
      <c r="J89" s="317"/>
      <c r="K89" s="1795">
        <f>ROUND(SUM(C89)+SUM(E89)-SUM(G89)+SUM(I89),3)</f>
        <v>195.01599999999999</v>
      </c>
      <c r="L89" s="1301"/>
      <c r="M89" s="2048"/>
    </row>
    <row r="90" spans="1:13">
      <c r="A90" s="605" t="s">
        <v>695</v>
      </c>
      <c r="B90" s="318"/>
      <c r="C90" s="1794">
        <v>278.82900000000001</v>
      </c>
      <c r="D90" s="1792"/>
      <c r="E90" s="1794">
        <v>117.496</v>
      </c>
      <c r="F90" s="1792"/>
      <c r="G90" s="1794">
        <v>0</v>
      </c>
      <c r="H90" s="1792"/>
      <c r="I90" s="1794">
        <v>-26.312000000000001</v>
      </c>
      <c r="J90" s="317"/>
      <c r="K90" s="1795">
        <f t="shared" si="4"/>
        <v>370.01299999999998</v>
      </c>
      <c r="L90" s="1301"/>
      <c r="M90" s="2048"/>
    </row>
    <row r="91" spans="1:13">
      <c r="A91" s="136" t="s">
        <v>696</v>
      </c>
      <c r="B91" s="318"/>
      <c r="C91" s="1802">
        <f>ROUND(SUM(C28:C90),3)</f>
        <v>9778.9269999999997</v>
      </c>
      <c r="D91" s="140"/>
      <c r="E91" s="1802">
        <f>ROUND(SUM(E28:E90),3)</f>
        <v>2264.9290000000001</v>
      </c>
      <c r="F91" s="140"/>
      <c r="G91" s="1802">
        <f>ROUND(SUM(G28:G90),3)</f>
        <v>1923.7809999999999</v>
      </c>
      <c r="H91" s="140"/>
      <c r="I91" s="1802">
        <f>ROUND(SUM(I28:I90),3)</f>
        <v>254.631</v>
      </c>
      <c r="J91" s="140"/>
      <c r="K91" s="1802">
        <f>ROUND(SUM(K28:K90),3)</f>
        <v>10374.706</v>
      </c>
      <c r="L91" s="1301"/>
      <c r="M91" s="2048"/>
    </row>
    <row r="92" spans="1:13" ht="11.25" customHeight="1">
      <c r="A92" s="318"/>
      <c r="B92" s="318"/>
      <c r="C92" s="318"/>
      <c r="D92" s="318"/>
      <c r="E92" s="318"/>
      <c r="F92" s="318"/>
      <c r="G92" s="318"/>
      <c r="H92" s="318"/>
      <c r="I92" s="318"/>
      <c r="J92" s="318"/>
      <c r="K92" s="318"/>
      <c r="L92" s="1301"/>
      <c r="M92" s="2048"/>
    </row>
    <row r="93" spans="1:13">
      <c r="A93" s="137" t="s">
        <v>697</v>
      </c>
      <c r="B93" s="318"/>
      <c r="C93" s="318"/>
      <c r="D93" s="318"/>
      <c r="E93" s="318"/>
      <c r="F93" s="318"/>
      <c r="G93" s="318"/>
      <c r="H93" s="318"/>
      <c r="I93" s="318"/>
      <c r="J93" s="318"/>
      <c r="K93" s="318"/>
      <c r="L93" s="1301"/>
      <c r="M93" s="2048"/>
    </row>
    <row r="94" spans="1:13">
      <c r="A94" s="318" t="s">
        <v>698</v>
      </c>
      <c r="B94" s="318"/>
      <c r="C94" s="1794">
        <v>-50.326999999999998</v>
      </c>
      <c r="D94" s="1792"/>
      <c r="E94" s="1794">
        <v>270.02800000000002</v>
      </c>
      <c r="F94" s="1792"/>
      <c r="G94" s="1794">
        <v>218.28</v>
      </c>
      <c r="H94" s="1792"/>
      <c r="I94" s="1794">
        <v>-0.115</v>
      </c>
      <c r="J94" s="317"/>
      <c r="K94" s="1795">
        <f t="shared" ref="K94:K100" si="5">ROUND(SUM(C94)+SUM(E94)-SUM(G94)+SUM(I94),3)</f>
        <v>1.306</v>
      </c>
      <c r="L94" s="1301"/>
      <c r="M94" s="2048"/>
    </row>
    <row r="95" spans="1:13">
      <c r="A95" s="318" t="s">
        <v>699</v>
      </c>
      <c r="B95" s="318"/>
      <c r="C95" s="1794">
        <v>7878.067</v>
      </c>
      <c r="D95" s="1792"/>
      <c r="E95" s="1794">
        <v>8812.4930000000004</v>
      </c>
      <c r="F95" s="1792"/>
      <c r="G95" s="1794">
        <v>7032.8360000000002</v>
      </c>
      <c r="H95" s="1792"/>
      <c r="I95" s="1794">
        <v>-642.37699999999995</v>
      </c>
      <c r="J95" s="317"/>
      <c r="K95" s="1795">
        <f t="shared" si="5"/>
        <v>9015.3469999999998</v>
      </c>
      <c r="L95" s="1301"/>
      <c r="M95" s="2048"/>
    </row>
    <row r="96" spans="1:13">
      <c r="A96" s="318" t="s">
        <v>700</v>
      </c>
      <c r="B96" s="138"/>
      <c r="C96" s="1794">
        <v>-34.271999999999998</v>
      </c>
      <c r="D96" s="1792"/>
      <c r="E96" s="1794">
        <v>213.24799999999999</v>
      </c>
      <c r="F96" s="1792"/>
      <c r="G96" s="1794">
        <v>264.98599999999999</v>
      </c>
      <c r="H96" s="1792"/>
      <c r="I96" s="1794">
        <v>0</v>
      </c>
      <c r="J96" s="317"/>
      <c r="K96" s="1795">
        <f t="shared" si="5"/>
        <v>-86.01</v>
      </c>
      <c r="L96" s="1301"/>
      <c r="M96" s="2048"/>
    </row>
    <row r="97" spans="1:13">
      <c r="A97" s="318" t="s">
        <v>701</v>
      </c>
      <c r="B97" s="318"/>
      <c r="C97" s="1794">
        <v>570.31200000000001</v>
      </c>
      <c r="D97" s="1792"/>
      <c r="E97" s="1794">
        <v>506.15699999999998</v>
      </c>
      <c r="F97" s="1792"/>
      <c r="G97" s="1794">
        <v>261.62299999999999</v>
      </c>
      <c r="H97" s="1792"/>
      <c r="I97" s="1794">
        <v>-82.007000000000005</v>
      </c>
      <c r="J97" s="317"/>
      <c r="K97" s="1795">
        <f t="shared" si="5"/>
        <v>732.83900000000006</v>
      </c>
      <c r="L97" s="1301"/>
      <c r="M97" s="2048"/>
    </row>
    <row r="98" spans="1:13">
      <c r="A98" s="318" t="s">
        <v>702</v>
      </c>
      <c r="B98" s="318"/>
      <c r="C98" s="1794">
        <v>135.53</v>
      </c>
      <c r="D98" s="1792"/>
      <c r="E98" s="1794">
        <v>29.914000000000001</v>
      </c>
      <c r="F98" s="1792"/>
      <c r="G98" s="1794">
        <v>36.033000000000001</v>
      </c>
      <c r="H98" s="1792"/>
      <c r="I98" s="1794">
        <v>0</v>
      </c>
      <c r="J98" s="317"/>
      <c r="K98" s="1795">
        <f t="shared" si="5"/>
        <v>129.411</v>
      </c>
      <c r="L98" s="1301"/>
      <c r="M98" s="2048"/>
    </row>
    <row r="99" spans="1:13">
      <c r="A99" s="318" t="s">
        <v>703</v>
      </c>
      <c r="B99" s="318"/>
      <c r="C99" s="1794">
        <v>-0.42099999999999999</v>
      </c>
      <c r="D99" s="1792"/>
      <c r="E99" s="1794">
        <v>5.0000000000000001E-3</v>
      </c>
      <c r="F99" s="1792"/>
      <c r="G99" s="1794">
        <v>5.0000000000000001E-3</v>
      </c>
      <c r="H99" s="1792"/>
      <c r="I99" s="1794">
        <v>0</v>
      </c>
      <c r="J99" s="317"/>
      <c r="K99" s="1795">
        <f t="shared" si="5"/>
        <v>-0.42099999999999999</v>
      </c>
      <c r="L99" s="1301"/>
      <c r="M99" s="2048"/>
    </row>
    <row r="100" spans="1:13">
      <c r="A100" s="319" t="s">
        <v>704</v>
      </c>
      <c r="B100" s="318"/>
      <c r="C100" s="1794">
        <v>-7.2220000000000004</v>
      </c>
      <c r="D100" s="1792"/>
      <c r="E100" s="1794">
        <v>16.664999999999999</v>
      </c>
      <c r="F100" s="1792"/>
      <c r="G100" s="1794">
        <v>11.919</v>
      </c>
      <c r="H100" s="1792"/>
      <c r="I100" s="1794">
        <v>0</v>
      </c>
      <c r="J100" s="317"/>
      <c r="K100" s="1795">
        <f t="shared" si="5"/>
        <v>-2.476</v>
      </c>
      <c r="L100" s="1301"/>
      <c r="M100" s="2048"/>
    </row>
    <row r="101" spans="1:13">
      <c r="A101" s="136" t="s">
        <v>705</v>
      </c>
      <c r="B101" s="318"/>
      <c r="C101" s="1802">
        <f>ROUND(SUM(C94:C100),3)</f>
        <v>8491.6669999999995</v>
      </c>
      <c r="D101" s="140"/>
      <c r="E101" s="1802">
        <f>ROUND(SUM(E94:E100),3)</f>
        <v>9848.51</v>
      </c>
      <c r="F101" s="140"/>
      <c r="G101" s="1802">
        <f>ROUND(SUM(G94:G100),3)</f>
        <v>7825.6819999999998</v>
      </c>
      <c r="H101" s="140"/>
      <c r="I101" s="1802">
        <f>ROUND(SUM(I94:I100),3)</f>
        <v>-724.49900000000002</v>
      </c>
      <c r="J101" s="140"/>
      <c r="K101" s="1802">
        <f>ROUND(SUM(K94:K100),3)</f>
        <v>9789.9959999999992</v>
      </c>
      <c r="L101" s="1301"/>
      <c r="M101" s="2048"/>
    </row>
    <row r="102" spans="1:13" ht="12" customHeight="1">
      <c r="A102" s="140"/>
      <c r="B102" s="318"/>
      <c r="C102" s="318"/>
      <c r="D102" s="318"/>
      <c r="E102" s="318"/>
      <c r="F102" s="318"/>
      <c r="G102" s="318"/>
      <c r="H102" s="318"/>
      <c r="I102" s="318"/>
      <c r="J102" s="318"/>
      <c r="K102" s="318"/>
      <c r="L102" s="1301"/>
      <c r="M102" s="2048"/>
    </row>
    <row r="103" spans="1:13">
      <c r="A103" s="847" t="s">
        <v>706</v>
      </c>
      <c r="B103" s="318"/>
      <c r="C103" s="1803">
        <f>C101+C91</f>
        <v>18270.593999999997</v>
      </c>
      <c r="D103" s="140"/>
      <c r="E103" s="1803">
        <f>E101+E91</f>
        <v>12113.439</v>
      </c>
      <c r="F103" s="140"/>
      <c r="G103" s="1803">
        <f>G101+G91</f>
        <v>9749.4629999999997</v>
      </c>
      <c r="H103" s="140"/>
      <c r="I103" s="1803">
        <f>I101+I91</f>
        <v>-469.86800000000005</v>
      </c>
      <c r="J103" s="140"/>
      <c r="K103" s="1803">
        <f>K91+K101</f>
        <v>20164.701999999997</v>
      </c>
      <c r="L103" s="1301"/>
      <c r="M103" s="2048"/>
    </row>
    <row r="104" spans="1:13" ht="10.5" customHeight="1">
      <c r="A104" s="848"/>
      <c r="B104" s="318"/>
      <c r="C104" s="318"/>
      <c r="D104" s="318"/>
      <c r="E104" s="318"/>
      <c r="F104" s="318"/>
      <c r="G104" s="318"/>
      <c r="H104" s="318"/>
      <c r="I104" s="318"/>
      <c r="J104" s="318"/>
      <c r="K104" s="318"/>
      <c r="L104" s="1301"/>
      <c r="M104" s="2048"/>
    </row>
    <row r="105" spans="1:13" ht="16">
      <c r="A105" s="137" t="s">
        <v>548</v>
      </c>
      <c r="B105" s="318"/>
      <c r="C105" s="318"/>
      <c r="D105" s="318"/>
      <c r="E105" s="1797"/>
      <c r="F105" s="1797"/>
      <c r="G105" s="1797"/>
      <c r="H105" s="1797"/>
      <c r="I105" s="1797"/>
      <c r="J105" s="138"/>
      <c r="K105" s="1797"/>
      <c r="L105" s="1301"/>
      <c r="M105" s="2048"/>
    </row>
    <row r="106" spans="1:13">
      <c r="A106" s="318" t="s">
        <v>707</v>
      </c>
      <c r="B106" s="318"/>
      <c r="C106" s="1794">
        <v>0</v>
      </c>
      <c r="D106" s="1792"/>
      <c r="E106" s="1794">
        <v>0</v>
      </c>
      <c r="F106" s="1792"/>
      <c r="G106" s="1794">
        <v>0</v>
      </c>
      <c r="H106" s="1792"/>
      <c r="I106" s="1794">
        <v>0</v>
      </c>
      <c r="J106" s="317"/>
      <c r="K106" s="1795">
        <f t="shared" ref="K106:K111" si="6">ROUND(SUM(C106)+SUM(E106)-SUM(G106)+SUM(I106),3)</f>
        <v>0</v>
      </c>
      <c r="L106" s="1301"/>
      <c r="M106" s="2048"/>
    </row>
    <row r="107" spans="1:13">
      <c r="A107" s="318" t="s">
        <v>708</v>
      </c>
      <c r="B107" s="318"/>
      <c r="C107" s="1794">
        <v>708.17500000000007</v>
      </c>
      <c r="D107" s="1792"/>
      <c r="E107" s="1794">
        <v>24.34</v>
      </c>
      <c r="F107" s="1792"/>
      <c r="G107" s="1794">
        <v>0</v>
      </c>
      <c r="H107" s="1792"/>
      <c r="I107" s="1794">
        <v>-177.571</v>
      </c>
      <c r="J107" s="317"/>
      <c r="K107" s="1795">
        <f>ROUND(SUM(C107)+SUM(E107)-SUM(G107)+SUM(I107),3)</f>
        <v>554.94399999999996</v>
      </c>
      <c r="L107" s="1301"/>
      <c r="M107" s="2048"/>
    </row>
    <row r="108" spans="1:13">
      <c r="A108" s="318" t="s">
        <v>709</v>
      </c>
      <c r="B108" s="318"/>
      <c r="C108" s="1794">
        <v>804.274</v>
      </c>
      <c r="D108" s="1792"/>
      <c r="E108" s="1794">
        <v>3888.9319999999998</v>
      </c>
      <c r="F108" s="1792"/>
      <c r="G108" s="1794">
        <v>131.03800000000001</v>
      </c>
      <c r="H108" s="1792"/>
      <c r="I108" s="1794">
        <v>-1976.509</v>
      </c>
      <c r="J108" s="317"/>
      <c r="K108" s="1795">
        <f t="shared" si="6"/>
        <v>2585.6590000000001</v>
      </c>
      <c r="L108" s="1301"/>
      <c r="M108" s="2048"/>
    </row>
    <row r="109" spans="1:13">
      <c r="A109" s="318" t="s">
        <v>710</v>
      </c>
      <c r="B109" s="318"/>
      <c r="C109" s="1794">
        <v>0</v>
      </c>
      <c r="D109" s="1792"/>
      <c r="E109" s="1794">
        <v>0</v>
      </c>
      <c r="F109" s="1792"/>
      <c r="G109" s="1794">
        <v>0</v>
      </c>
      <c r="H109" s="1792"/>
      <c r="I109" s="1794">
        <v>0</v>
      </c>
      <c r="J109" s="317"/>
      <c r="K109" s="1795">
        <f t="shared" si="6"/>
        <v>0</v>
      </c>
      <c r="L109" s="1301"/>
      <c r="M109" s="2048"/>
    </row>
    <row r="110" spans="1:13">
      <c r="A110" s="318" t="s">
        <v>711</v>
      </c>
      <c r="B110" s="318"/>
      <c r="C110" s="1794">
        <v>35.686999999999998</v>
      </c>
      <c r="D110" s="1792"/>
      <c r="E110" s="1794">
        <v>14.606999999999999</v>
      </c>
      <c r="F110" s="1792"/>
      <c r="G110" s="1794">
        <v>0</v>
      </c>
      <c r="H110" s="1792"/>
      <c r="I110" s="1794">
        <v>-12.814</v>
      </c>
      <c r="J110" s="317"/>
      <c r="K110" s="1795">
        <f t="shared" si="6"/>
        <v>37.479999999999997</v>
      </c>
      <c r="L110" s="1301"/>
      <c r="M110" s="2048"/>
    </row>
    <row r="111" spans="1:13">
      <c r="A111" s="318" t="s">
        <v>712</v>
      </c>
      <c r="B111" s="318"/>
      <c r="C111" s="1794">
        <v>18.859000000000002</v>
      </c>
      <c r="D111" s="1792"/>
      <c r="E111" s="1794">
        <v>79.980999999999995</v>
      </c>
      <c r="F111" s="1792"/>
      <c r="G111" s="1794">
        <v>0</v>
      </c>
      <c r="H111" s="1792"/>
      <c r="I111" s="1794">
        <v>-89.79</v>
      </c>
      <c r="J111" s="317"/>
      <c r="K111" s="1795">
        <f t="shared" si="6"/>
        <v>9.0500000000000007</v>
      </c>
      <c r="L111" s="1301"/>
      <c r="M111" s="2048"/>
    </row>
    <row r="112" spans="1:13">
      <c r="A112" s="140" t="s">
        <v>713</v>
      </c>
      <c r="B112" s="849"/>
      <c r="C112" s="1802">
        <f>ROUND(SUM(C106:C111),3)</f>
        <v>1566.9949999999999</v>
      </c>
      <c r="D112" s="141"/>
      <c r="E112" s="1802">
        <f>ROUND(SUM(E106:E111),3)</f>
        <v>4007.86</v>
      </c>
      <c r="F112" s="141"/>
      <c r="G112" s="1802">
        <f>ROUND(SUM(G106:G111),3)</f>
        <v>131.03800000000001</v>
      </c>
      <c r="H112" s="141"/>
      <c r="I112" s="1802">
        <f>ROUND(SUM(I106:I111),3)</f>
        <v>-2256.6840000000002</v>
      </c>
      <c r="J112" s="141"/>
      <c r="K112" s="1802">
        <f>ROUND(SUM(K106:K111),3)</f>
        <v>3187.1329999999998</v>
      </c>
      <c r="L112" s="1301"/>
      <c r="M112" s="2048"/>
    </row>
    <row r="113" spans="1:13">
      <c r="A113" s="140"/>
      <c r="B113" s="849"/>
      <c r="C113" s="140"/>
      <c r="D113" s="141"/>
      <c r="E113" s="140"/>
      <c r="F113" s="141"/>
      <c r="G113" s="140"/>
      <c r="H113" s="141"/>
      <c r="I113" s="140"/>
      <c r="J113" s="141"/>
      <c r="K113" s="140"/>
      <c r="L113" s="1301"/>
      <c r="M113" s="2048"/>
    </row>
    <row r="114" spans="1:13">
      <c r="A114" s="318"/>
      <c r="B114" s="318"/>
      <c r="C114" s="318"/>
      <c r="D114" s="318"/>
      <c r="E114" s="318"/>
      <c r="F114" s="318"/>
      <c r="G114" s="318"/>
      <c r="H114" s="318"/>
      <c r="I114" s="318"/>
      <c r="J114" s="318"/>
      <c r="K114" s="318" t="s">
        <v>103</v>
      </c>
      <c r="L114" s="1301"/>
      <c r="M114" s="2048"/>
    </row>
    <row r="115" spans="1:13">
      <c r="A115" s="850" t="s">
        <v>714</v>
      </c>
      <c r="B115" s="318"/>
      <c r="K115" s="320"/>
      <c r="L115" s="1301"/>
      <c r="M115" s="2048"/>
    </row>
    <row r="116" spans="1:13">
      <c r="A116" s="318" t="s">
        <v>715</v>
      </c>
      <c r="B116" s="317"/>
      <c r="C116" s="1794">
        <v>0</v>
      </c>
      <c r="D116" s="1792"/>
      <c r="E116" s="1794">
        <v>0.184</v>
      </c>
      <c r="F116" s="1792"/>
      <c r="G116" s="1794">
        <v>869.20400000000006</v>
      </c>
      <c r="H116" s="1792"/>
      <c r="I116" s="1794">
        <v>869.02</v>
      </c>
      <c r="J116" s="317"/>
      <c r="K116" s="1795">
        <f>ROUND(SUM(C116)+SUM(E116)-SUM(G116)+SUM(I116),3)</f>
        <v>0</v>
      </c>
      <c r="L116" s="1301"/>
      <c r="M116" s="2048"/>
    </row>
    <row r="117" spans="1:13">
      <c r="A117" s="318" t="s">
        <v>716</v>
      </c>
      <c r="B117" s="319"/>
      <c r="C117" s="1794">
        <v>-43.573999999999998</v>
      </c>
      <c r="D117" s="1792"/>
      <c r="E117" s="1794">
        <v>164.59399999999999</v>
      </c>
      <c r="F117" s="1792"/>
      <c r="G117" s="1794">
        <v>147.346</v>
      </c>
      <c r="H117" s="1792"/>
      <c r="I117" s="1794">
        <v>-1.6E-2</v>
      </c>
      <c r="J117" s="1804"/>
      <c r="K117" s="1805">
        <f t="shared" ref="K117:K131" si="7">ROUND(SUM(C117)+SUM(E117)-SUM(G117)+SUM(I117),3)</f>
        <v>-26.341999999999999</v>
      </c>
      <c r="L117" s="1301"/>
      <c r="M117" s="2048"/>
    </row>
    <row r="118" spans="1:13">
      <c r="A118" s="318" t="s">
        <v>717</v>
      </c>
      <c r="B118" s="318"/>
      <c r="C118" s="1794">
        <v>176.06200000000001</v>
      </c>
      <c r="D118" s="1792"/>
      <c r="E118" s="1794">
        <v>0.58399999999999996</v>
      </c>
      <c r="F118" s="1792"/>
      <c r="G118" s="1794">
        <v>11.722</v>
      </c>
      <c r="H118" s="1792"/>
      <c r="I118" s="1794">
        <v>0</v>
      </c>
      <c r="J118" s="317"/>
      <c r="K118" s="1795">
        <f t="shared" si="7"/>
        <v>164.92400000000001</v>
      </c>
      <c r="L118" s="1301"/>
      <c r="M118" s="2048"/>
    </row>
    <row r="119" spans="1:13">
      <c r="A119" s="318" t="s">
        <v>718</v>
      </c>
      <c r="B119" s="318"/>
      <c r="C119" s="1794">
        <v>15.83</v>
      </c>
      <c r="D119" s="1792"/>
      <c r="E119" s="1794">
        <v>0.66</v>
      </c>
      <c r="F119" s="1792"/>
      <c r="G119" s="1794">
        <v>0</v>
      </c>
      <c r="H119" s="1792"/>
      <c r="I119" s="1794">
        <v>0</v>
      </c>
      <c r="J119" s="317"/>
      <c r="K119" s="1795">
        <f t="shared" si="7"/>
        <v>16.489999999999998</v>
      </c>
      <c r="L119" s="1301"/>
      <c r="M119" s="2048"/>
    </row>
    <row r="120" spans="1:13">
      <c r="A120" s="318" t="s">
        <v>719</v>
      </c>
      <c r="B120" s="318"/>
      <c r="C120" s="1794">
        <v>-239.881</v>
      </c>
      <c r="D120" s="1792"/>
      <c r="E120" s="1794">
        <v>0</v>
      </c>
      <c r="F120" s="1792"/>
      <c r="G120" s="1794">
        <v>20.706</v>
      </c>
      <c r="H120" s="1792"/>
      <c r="I120" s="1794">
        <v>0</v>
      </c>
      <c r="J120" s="317"/>
      <c r="K120" s="1795">
        <f t="shared" si="7"/>
        <v>-260.58699999999999</v>
      </c>
      <c r="L120" s="1301"/>
      <c r="M120" s="2048"/>
    </row>
    <row r="121" spans="1:13">
      <c r="A121" s="318" t="s">
        <v>720</v>
      </c>
      <c r="B121" s="318"/>
      <c r="C121" s="1794">
        <v>1.7000000000000001E-2</v>
      </c>
      <c r="D121" s="1792"/>
      <c r="E121" s="1794">
        <v>0</v>
      </c>
      <c r="F121" s="1792"/>
      <c r="G121" s="1794">
        <v>0</v>
      </c>
      <c r="H121" s="1792"/>
      <c r="I121" s="1794">
        <v>0</v>
      </c>
      <c r="J121" s="317"/>
      <c r="K121" s="1795">
        <f t="shared" si="7"/>
        <v>1.7000000000000001E-2</v>
      </c>
      <c r="L121" s="1301"/>
      <c r="M121" s="2048"/>
    </row>
    <row r="122" spans="1:13">
      <c r="A122" s="318" t="s">
        <v>721</v>
      </c>
      <c r="B122" s="318"/>
      <c r="C122" s="1794">
        <v>470.428</v>
      </c>
      <c r="D122" s="1792"/>
      <c r="E122" s="1794">
        <v>28.754999999999999</v>
      </c>
      <c r="F122" s="1792"/>
      <c r="G122" s="1794">
        <v>36.887</v>
      </c>
      <c r="H122" s="1792"/>
      <c r="I122" s="1794">
        <v>0</v>
      </c>
      <c r="J122" s="317"/>
      <c r="K122" s="1795">
        <f t="shared" si="7"/>
        <v>462.29599999999999</v>
      </c>
      <c r="L122" s="1301"/>
      <c r="M122" s="2048"/>
    </row>
    <row r="123" spans="1:13">
      <c r="A123" s="318" t="s">
        <v>722</v>
      </c>
      <c r="B123" s="318"/>
      <c r="C123" s="1794">
        <v>0</v>
      </c>
      <c r="D123" s="1792"/>
      <c r="E123" s="1794">
        <v>0</v>
      </c>
      <c r="F123" s="1792"/>
      <c r="G123" s="1794">
        <v>0</v>
      </c>
      <c r="H123" s="1792"/>
      <c r="I123" s="1794">
        <v>0</v>
      </c>
      <c r="J123" s="317"/>
      <c r="K123" s="1795">
        <f t="shared" si="7"/>
        <v>0</v>
      </c>
      <c r="L123" s="1301"/>
      <c r="M123" s="2048"/>
    </row>
    <row r="124" spans="1:13">
      <c r="A124" s="318" t="s">
        <v>723</v>
      </c>
      <c r="B124" s="318"/>
      <c r="C124" s="1794">
        <v>0.16400000000000001</v>
      </c>
      <c r="D124" s="1792"/>
      <c r="E124" s="1794">
        <v>0</v>
      </c>
      <c r="F124" s="1792"/>
      <c r="G124" s="1794">
        <v>0</v>
      </c>
      <c r="H124" s="1792"/>
      <c r="I124" s="1794">
        <v>0</v>
      </c>
      <c r="J124" s="317"/>
      <c r="K124" s="1795">
        <f t="shared" si="7"/>
        <v>0.16400000000000001</v>
      </c>
      <c r="L124" s="1301"/>
      <c r="M124" s="2048"/>
    </row>
    <row r="125" spans="1:13">
      <c r="A125" s="318" t="s">
        <v>724</v>
      </c>
      <c r="B125" s="318"/>
      <c r="C125" s="1794">
        <v>0</v>
      </c>
      <c r="D125" s="1792"/>
      <c r="E125" s="1794">
        <v>0</v>
      </c>
      <c r="F125" s="1792"/>
      <c r="G125" s="1794">
        <v>0</v>
      </c>
      <c r="H125" s="1792"/>
      <c r="I125" s="1794">
        <v>0</v>
      </c>
      <c r="J125" s="317"/>
      <c r="K125" s="1795">
        <f t="shared" si="7"/>
        <v>0</v>
      </c>
      <c r="L125" s="1301"/>
      <c r="M125" s="2048"/>
    </row>
    <row r="126" spans="1:13">
      <c r="A126" s="318" t="s">
        <v>725</v>
      </c>
      <c r="B126" s="318"/>
      <c r="C126" s="1794">
        <v>0</v>
      </c>
      <c r="D126" s="1792"/>
      <c r="E126" s="1794">
        <v>0</v>
      </c>
      <c r="F126" s="1792"/>
      <c r="G126" s="1794">
        <v>0</v>
      </c>
      <c r="H126" s="1792"/>
      <c r="I126" s="1794">
        <v>0</v>
      </c>
      <c r="J126" s="317"/>
      <c r="K126" s="1795">
        <f t="shared" si="7"/>
        <v>0</v>
      </c>
      <c r="L126" s="1301"/>
      <c r="M126" s="2048"/>
    </row>
    <row r="127" spans="1:13">
      <c r="A127" s="318" t="s">
        <v>726</v>
      </c>
      <c r="B127" s="318"/>
      <c r="C127" s="1794">
        <v>3.3279999999999998</v>
      </c>
      <c r="D127" s="1792"/>
      <c r="E127" s="1794">
        <v>0</v>
      </c>
      <c r="F127" s="1792"/>
      <c r="G127" s="1794">
        <v>0</v>
      </c>
      <c r="H127" s="1792"/>
      <c r="I127" s="1794">
        <v>0</v>
      </c>
      <c r="J127" s="317"/>
      <c r="K127" s="1795">
        <f t="shared" si="7"/>
        <v>3.3279999999999998</v>
      </c>
      <c r="L127" s="1301"/>
      <c r="M127" s="2048"/>
    </row>
    <row r="128" spans="1:13">
      <c r="A128" s="318" t="s">
        <v>727</v>
      </c>
      <c r="B128" s="318"/>
      <c r="C128" s="1794">
        <v>0.73699999999999999</v>
      </c>
      <c r="D128" s="1792"/>
      <c r="E128" s="1794">
        <v>0</v>
      </c>
      <c r="F128" s="1792"/>
      <c r="G128" s="1794">
        <v>0</v>
      </c>
      <c r="H128" s="1792"/>
      <c r="I128" s="1794">
        <v>0</v>
      </c>
      <c r="J128" s="317"/>
      <c r="K128" s="1795">
        <f t="shared" si="7"/>
        <v>0.73699999999999999</v>
      </c>
      <c r="L128" s="1301"/>
      <c r="M128" s="2048"/>
    </row>
    <row r="129" spans="1:13">
      <c r="A129" s="318" t="s">
        <v>728</v>
      </c>
      <c r="B129" s="318"/>
      <c r="C129" s="1794">
        <v>6.3620000000000001</v>
      </c>
      <c r="D129" s="1792"/>
      <c r="E129" s="1794">
        <v>0</v>
      </c>
      <c r="F129" s="1792"/>
      <c r="G129" s="1794">
        <v>0</v>
      </c>
      <c r="H129" s="1792"/>
      <c r="I129" s="1794">
        <v>0</v>
      </c>
      <c r="J129" s="317"/>
      <c r="K129" s="1795">
        <f t="shared" si="7"/>
        <v>6.3620000000000001</v>
      </c>
      <c r="L129" s="1301"/>
      <c r="M129" s="2048"/>
    </row>
    <row r="130" spans="1:13">
      <c r="A130" s="318" t="s">
        <v>729</v>
      </c>
      <c r="B130" s="318"/>
      <c r="C130" s="1794">
        <v>4.2549999999999999</v>
      </c>
      <c r="D130" s="1792"/>
      <c r="E130" s="1794">
        <v>0</v>
      </c>
      <c r="F130" s="1792"/>
      <c r="G130" s="1794">
        <v>0</v>
      </c>
      <c r="H130" s="1792"/>
      <c r="I130" s="1794">
        <v>0</v>
      </c>
      <c r="J130" s="317"/>
      <c r="K130" s="1795">
        <f t="shared" si="7"/>
        <v>4.2549999999999999</v>
      </c>
      <c r="L130" s="1301"/>
      <c r="M130" s="2048"/>
    </row>
    <row r="131" spans="1:13">
      <c r="A131" s="318" t="s">
        <v>730</v>
      </c>
      <c r="B131" s="318"/>
      <c r="C131" s="1794">
        <v>5.55</v>
      </c>
      <c r="D131" s="1792"/>
      <c r="E131" s="1794">
        <v>0</v>
      </c>
      <c r="F131" s="1792"/>
      <c r="G131" s="1794">
        <v>0</v>
      </c>
      <c r="H131" s="1792"/>
      <c r="I131" s="1794">
        <v>0</v>
      </c>
      <c r="J131" s="317"/>
      <c r="K131" s="1795">
        <f t="shared" si="7"/>
        <v>5.55</v>
      </c>
      <c r="L131" s="1301"/>
      <c r="M131" s="2048"/>
    </row>
    <row r="132" spans="1:13">
      <c r="A132" s="318" t="s">
        <v>731</v>
      </c>
      <c r="B132" s="318"/>
      <c r="C132" s="2056"/>
      <c r="D132"/>
      <c r="E132" s="1800"/>
      <c r="F132" s="1792"/>
      <c r="G132" s="1800"/>
      <c r="H132" s="1792"/>
      <c r="I132" s="1800"/>
      <c r="J132" s="318"/>
      <c r="K132" s="1806"/>
      <c r="L132" s="1301"/>
      <c r="M132" s="2048"/>
    </row>
    <row r="133" spans="1:13">
      <c r="A133" s="318" t="s">
        <v>732</v>
      </c>
      <c r="B133" s="318"/>
      <c r="C133" s="1794">
        <v>2.778</v>
      </c>
      <c r="D133" s="1792"/>
      <c r="E133" s="1794">
        <v>0</v>
      </c>
      <c r="F133" s="1792"/>
      <c r="G133" s="1794">
        <v>0</v>
      </c>
      <c r="H133" s="1792"/>
      <c r="I133" s="1794">
        <v>0</v>
      </c>
      <c r="J133" s="317"/>
      <c r="K133" s="1795">
        <f t="shared" ref="K133:K155" si="8">ROUND(SUM(C133)+SUM(E133)-SUM(G133)+SUM(I133),3)</f>
        <v>2.778</v>
      </c>
      <c r="L133" s="1301"/>
      <c r="M133" s="2048"/>
    </row>
    <row r="134" spans="1:13">
      <c r="A134" s="318" t="s">
        <v>733</v>
      </c>
      <c r="B134" s="318"/>
      <c r="C134" s="1794">
        <v>1.4279999999999999</v>
      </c>
      <c r="D134" s="1792"/>
      <c r="E134" s="1794">
        <v>0</v>
      </c>
      <c r="F134" s="1792"/>
      <c r="G134" s="1794">
        <v>0</v>
      </c>
      <c r="H134" s="1792"/>
      <c r="I134" s="1794">
        <v>0</v>
      </c>
      <c r="J134" s="317"/>
      <c r="K134" s="1795">
        <f t="shared" si="8"/>
        <v>1.4279999999999999</v>
      </c>
      <c r="L134" s="1301"/>
      <c r="M134" s="2048"/>
    </row>
    <row r="135" spans="1:13">
      <c r="A135" s="318" t="s">
        <v>734</v>
      </c>
      <c r="B135" s="318"/>
      <c r="C135" s="1794">
        <v>0</v>
      </c>
      <c r="D135" s="1792"/>
      <c r="E135" s="1794">
        <v>0</v>
      </c>
      <c r="F135" s="1792"/>
      <c r="G135" s="1794">
        <v>0</v>
      </c>
      <c r="H135" s="1792"/>
      <c r="I135" s="1794">
        <v>0</v>
      </c>
      <c r="J135" s="317"/>
      <c r="K135" s="1795">
        <f t="shared" si="8"/>
        <v>0</v>
      </c>
      <c r="L135" s="1301"/>
      <c r="M135" s="2048"/>
    </row>
    <row r="136" spans="1:13">
      <c r="A136" s="318" t="s">
        <v>735</v>
      </c>
      <c r="B136" s="318"/>
      <c r="C136" s="1794">
        <v>0</v>
      </c>
      <c r="D136" s="1792"/>
      <c r="E136" s="1794">
        <v>0</v>
      </c>
      <c r="F136" s="1792"/>
      <c r="G136" s="1794">
        <v>0</v>
      </c>
      <c r="H136" s="1792"/>
      <c r="I136" s="1794">
        <v>0</v>
      </c>
      <c r="J136" s="317"/>
      <c r="K136" s="1795">
        <f t="shared" si="8"/>
        <v>0</v>
      </c>
      <c r="L136" s="1301"/>
      <c r="M136" s="2048"/>
    </row>
    <row r="137" spans="1:13">
      <c r="A137" s="318" t="s">
        <v>736</v>
      </c>
      <c r="B137" s="318"/>
      <c r="C137" s="1794">
        <v>0</v>
      </c>
      <c r="D137" s="1792"/>
      <c r="E137" s="1794">
        <v>0</v>
      </c>
      <c r="F137" s="1792"/>
      <c r="G137" s="1794">
        <v>0</v>
      </c>
      <c r="H137" s="1792"/>
      <c r="I137" s="1794">
        <v>0</v>
      </c>
      <c r="J137" s="317"/>
      <c r="K137" s="1795">
        <f>ROUND(SUM(C137)+SUM(E137)-SUM(G137)+SUM(I137),3)</f>
        <v>0</v>
      </c>
      <c r="L137" s="1301"/>
      <c r="M137" s="2048"/>
    </row>
    <row r="138" spans="1:13">
      <c r="A138" s="318" t="s">
        <v>737</v>
      </c>
      <c r="B138" s="318"/>
      <c r="C138" s="1794">
        <v>0</v>
      </c>
      <c r="D138" s="1792"/>
      <c r="E138" s="1794">
        <v>0</v>
      </c>
      <c r="F138" s="1792"/>
      <c r="G138" s="1794">
        <v>0</v>
      </c>
      <c r="H138" s="1792"/>
      <c r="I138" s="1794">
        <v>0</v>
      </c>
      <c r="J138" s="317"/>
      <c r="K138" s="1795">
        <f t="shared" si="8"/>
        <v>0</v>
      </c>
      <c r="L138" s="1301"/>
      <c r="M138" s="2048"/>
    </row>
    <row r="139" spans="1:13">
      <c r="A139" s="318" t="s">
        <v>738</v>
      </c>
      <c r="B139" s="318"/>
      <c r="C139" s="1794">
        <v>0</v>
      </c>
      <c r="D139" s="1792"/>
      <c r="E139" s="1794">
        <v>0</v>
      </c>
      <c r="F139" s="1792"/>
      <c r="G139" s="1794">
        <v>0</v>
      </c>
      <c r="H139" s="1792"/>
      <c r="I139" s="1794">
        <v>0</v>
      </c>
      <c r="J139" s="317"/>
      <c r="K139" s="1795">
        <f t="shared" si="8"/>
        <v>0</v>
      </c>
      <c r="L139" s="1301"/>
      <c r="M139" s="2048"/>
    </row>
    <row r="140" spans="1:13">
      <c r="A140" s="318" t="s">
        <v>739</v>
      </c>
      <c r="B140" s="318"/>
      <c r="C140" s="1794">
        <v>-457.5</v>
      </c>
      <c r="D140" s="1792"/>
      <c r="E140" s="1794">
        <v>216.399</v>
      </c>
      <c r="F140" s="1792"/>
      <c r="G140" s="1794">
        <v>122.905</v>
      </c>
      <c r="H140" s="1792"/>
      <c r="I140" s="1794">
        <v>0</v>
      </c>
      <c r="J140" s="317"/>
      <c r="K140" s="1805">
        <f t="shared" si="8"/>
        <v>-364.00599999999997</v>
      </c>
      <c r="L140" s="1301"/>
      <c r="M140" s="2048"/>
    </row>
    <row r="141" spans="1:13">
      <c r="A141" s="318" t="s">
        <v>740</v>
      </c>
      <c r="B141" s="318"/>
      <c r="C141" s="1794">
        <v>1.2190000000000001</v>
      </c>
      <c r="D141" s="1792"/>
      <c r="E141" s="1794">
        <v>5.0000000000000001E-3</v>
      </c>
      <c r="F141" s="1792"/>
      <c r="G141" s="1794">
        <v>0</v>
      </c>
      <c r="H141" s="1792"/>
      <c r="I141" s="1794">
        <v>0</v>
      </c>
      <c r="J141" s="317"/>
      <c r="K141" s="1795">
        <f t="shared" si="8"/>
        <v>1.224</v>
      </c>
      <c r="L141" s="1301"/>
      <c r="M141" s="2048"/>
    </row>
    <row r="142" spans="1:13">
      <c r="A142" s="319" t="s">
        <v>741</v>
      </c>
      <c r="B142" s="318"/>
      <c r="C142" s="1794">
        <v>-122.31399999999999</v>
      </c>
      <c r="D142" s="1792"/>
      <c r="E142" s="1794">
        <v>1.006</v>
      </c>
      <c r="F142" s="1792"/>
      <c r="G142" s="1794">
        <v>12.746</v>
      </c>
      <c r="H142" s="1792"/>
      <c r="I142" s="1794">
        <v>-0.59799999999999998</v>
      </c>
      <c r="J142" s="317"/>
      <c r="K142" s="1795">
        <f t="shared" si="8"/>
        <v>-134.65199999999999</v>
      </c>
      <c r="L142" s="1301"/>
      <c r="M142" s="2048"/>
    </row>
    <row r="143" spans="1:13">
      <c r="A143" s="318" t="s">
        <v>742</v>
      </c>
      <c r="B143" s="318"/>
      <c r="C143" s="1794">
        <v>0.60799999999999998</v>
      </c>
      <c r="D143" s="1792"/>
      <c r="E143" s="1794">
        <v>2E-3</v>
      </c>
      <c r="F143" s="1792"/>
      <c r="G143" s="1794">
        <v>0</v>
      </c>
      <c r="H143" s="1792"/>
      <c r="I143" s="1794">
        <v>0</v>
      </c>
      <c r="J143" s="317"/>
      <c r="K143" s="1795">
        <f t="shared" si="8"/>
        <v>0.61</v>
      </c>
      <c r="L143" s="1301"/>
      <c r="M143" s="2048"/>
    </row>
    <row r="144" spans="1:13">
      <c r="A144" s="318" t="s">
        <v>743</v>
      </c>
      <c r="B144" s="318"/>
      <c r="C144" s="1794">
        <v>-16.254000000000001</v>
      </c>
      <c r="D144" s="1792"/>
      <c r="E144" s="1794">
        <v>0</v>
      </c>
      <c r="F144" s="1792"/>
      <c r="G144" s="1794">
        <v>1.004</v>
      </c>
      <c r="H144" s="1792"/>
      <c r="I144" s="1794">
        <v>0</v>
      </c>
      <c r="J144" s="317"/>
      <c r="K144" s="1795">
        <f t="shared" si="8"/>
        <v>-17.257999999999999</v>
      </c>
      <c r="L144" s="1301"/>
      <c r="M144" s="2048"/>
    </row>
    <row r="145" spans="1:13">
      <c r="A145" s="318" t="s">
        <v>744</v>
      </c>
      <c r="B145" s="318"/>
      <c r="C145" s="1794">
        <v>-12.942</v>
      </c>
      <c r="D145" s="1792"/>
      <c r="E145" s="1794">
        <v>0</v>
      </c>
      <c r="F145" s="1792"/>
      <c r="G145" s="1794">
        <v>0</v>
      </c>
      <c r="H145" s="1792"/>
      <c r="I145" s="1794">
        <v>0</v>
      </c>
      <c r="J145" s="317"/>
      <c r="K145" s="1795">
        <f t="shared" si="8"/>
        <v>-12.942</v>
      </c>
      <c r="L145" s="1301"/>
      <c r="M145" s="2048"/>
    </row>
    <row r="146" spans="1:13">
      <c r="A146" s="318" t="s">
        <v>745</v>
      </c>
      <c r="B146" s="318"/>
      <c r="C146" s="1794">
        <v>-1288.146</v>
      </c>
      <c r="D146" s="1792"/>
      <c r="E146" s="1794">
        <v>0</v>
      </c>
      <c r="F146" s="1792"/>
      <c r="G146" s="1794">
        <v>68.878</v>
      </c>
      <c r="H146" s="1792"/>
      <c r="I146" s="1794">
        <v>0</v>
      </c>
      <c r="J146" s="317"/>
      <c r="K146" s="1795">
        <f t="shared" si="8"/>
        <v>-1357.0239999999999</v>
      </c>
      <c r="L146" s="1301"/>
      <c r="M146" s="2048"/>
    </row>
    <row r="147" spans="1:13">
      <c r="A147" s="318" t="s">
        <v>746</v>
      </c>
      <c r="B147" s="318"/>
      <c r="C147" s="1794">
        <v>37.478999999999999</v>
      </c>
      <c r="D147" s="1792"/>
      <c r="E147" s="1794">
        <v>0.14199999999999999</v>
      </c>
      <c r="F147" s="1792"/>
      <c r="G147" s="1794">
        <v>4.2999999999999997E-2</v>
      </c>
      <c r="H147" s="1792"/>
      <c r="I147" s="1794">
        <v>0</v>
      </c>
      <c r="J147" s="317"/>
      <c r="K147" s="1795">
        <f t="shared" si="8"/>
        <v>37.578000000000003</v>
      </c>
      <c r="L147" s="1301"/>
      <c r="M147" s="2048"/>
    </row>
    <row r="148" spans="1:13">
      <c r="A148" s="318" t="s">
        <v>747</v>
      </c>
      <c r="B148" s="318"/>
      <c r="C148" s="1794">
        <v>-12.016</v>
      </c>
      <c r="D148" s="1792"/>
      <c r="E148" s="1794">
        <v>0</v>
      </c>
      <c r="F148" s="1792"/>
      <c r="G148" s="1794">
        <v>0</v>
      </c>
      <c r="H148" s="1792"/>
      <c r="I148" s="1794">
        <v>0</v>
      </c>
      <c r="J148" s="317"/>
      <c r="K148" s="1795">
        <f t="shared" si="8"/>
        <v>-12.016</v>
      </c>
      <c r="L148" s="1301"/>
      <c r="M148" s="2048"/>
    </row>
    <row r="149" spans="1:13">
      <c r="A149" s="318" t="s">
        <v>748</v>
      </c>
      <c r="B149" s="318"/>
      <c r="C149" s="1794">
        <v>85.307000000000002</v>
      </c>
      <c r="D149" s="1792"/>
      <c r="E149" s="1794">
        <v>6.5380000000000003</v>
      </c>
      <c r="F149" s="1792"/>
      <c r="G149" s="1794">
        <v>9.1300000000000008</v>
      </c>
      <c r="H149" s="1792"/>
      <c r="I149" s="1794">
        <v>1.9359999999999999</v>
      </c>
      <c r="J149" s="317"/>
      <c r="K149" s="1795">
        <f t="shared" si="8"/>
        <v>84.650999999999996</v>
      </c>
      <c r="L149" s="1301"/>
      <c r="M149" s="2048"/>
    </row>
    <row r="150" spans="1:13">
      <c r="A150" s="318" t="s">
        <v>749</v>
      </c>
      <c r="B150" s="318"/>
      <c r="C150" s="1794">
        <v>0.109</v>
      </c>
      <c r="D150" s="1792"/>
      <c r="E150" s="1794">
        <v>0</v>
      </c>
      <c r="F150" s="1792"/>
      <c r="G150" s="1794">
        <v>0</v>
      </c>
      <c r="H150" s="1792"/>
      <c r="I150" s="1794">
        <v>0</v>
      </c>
      <c r="J150" s="317"/>
      <c r="K150" s="1795">
        <f t="shared" si="8"/>
        <v>0.109</v>
      </c>
      <c r="L150" s="1301"/>
      <c r="M150" s="2048"/>
    </row>
    <row r="151" spans="1:13">
      <c r="A151" s="318" t="s">
        <v>750</v>
      </c>
      <c r="B151" s="318"/>
      <c r="C151" s="1794">
        <v>-843.19</v>
      </c>
      <c r="D151" s="1792"/>
      <c r="E151" s="1794">
        <v>22.113</v>
      </c>
      <c r="F151" s="1792"/>
      <c r="G151" s="1794">
        <v>40.588999999999999</v>
      </c>
      <c r="H151" s="1792"/>
      <c r="I151" s="1794">
        <v>0</v>
      </c>
      <c r="J151" s="317"/>
      <c r="K151" s="1795">
        <f t="shared" si="8"/>
        <v>-861.66600000000005</v>
      </c>
      <c r="L151" s="1301"/>
      <c r="M151" s="2048"/>
    </row>
    <row r="152" spans="1:13">
      <c r="A152" s="318" t="s">
        <v>751</v>
      </c>
      <c r="B152" s="318"/>
      <c r="C152" s="1794">
        <v>-471.41</v>
      </c>
      <c r="D152" s="1792"/>
      <c r="E152" s="1794">
        <v>0</v>
      </c>
      <c r="F152" s="1792"/>
      <c r="G152" s="1794">
        <v>37.125999999999998</v>
      </c>
      <c r="H152" s="1792"/>
      <c r="I152" s="1794">
        <v>0</v>
      </c>
      <c r="J152" s="317"/>
      <c r="K152" s="1795">
        <f t="shared" si="8"/>
        <v>-508.536</v>
      </c>
      <c r="L152" s="1301"/>
      <c r="M152" s="2048"/>
    </row>
    <row r="153" spans="1:13">
      <c r="A153" s="318" t="s">
        <v>752</v>
      </c>
      <c r="B153" s="318"/>
      <c r="C153" s="1794">
        <v>117.81699999999999</v>
      </c>
      <c r="D153" s="1792"/>
      <c r="E153" s="1794">
        <v>0.44600000000000001</v>
      </c>
      <c r="F153" s="1792"/>
      <c r="G153" s="1794">
        <v>1.042</v>
      </c>
      <c r="H153" s="1792"/>
      <c r="I153" s="1794">
        <v>7.4999999999999997E-2</v>
      </c>
      <c r="J153" s="317"/>
      <c r="K153" s="1795">
        <f t="shared" si="8"/>
        <v>117.29600000000001</v>
      </c>
      <c r="L153" s="1301"/>
      <c r="M153" s="2048"/>
    </row>
    <row r="154" spans="1:13">
      <c r="A154" s="318" t="s">
        <v>753</v>
      </c>
      <c r="B154" s="318"/>
      <c r="C154" s="1794">
        <v>-32.820999999999998</v>
      </c>
      <c r="D154" s="1792"/>
      <c r="E154" s="1794">
        <v>0</v>
      </c>
      <c r="F154" s="1792"/>
      <c r="G154" s="1794">
        <v>0</v>
      </c>
      <c r="H154" s="1792"/>
      <c r="I154" s="1794">
        <v>0</v>
      </c>
      <c r="J154" s="317"/>
      <c r="K154" s="1795">
        <f t="shared" si="8"/>
        <v>-32.820999999999998</v>
      </c>
      <c r="L154" s="1301"/>
      <c r="M154" s="2048"/>
    </row>
    <row r="155" spans="1:13">
      <c r="A155" s="318" t="s">
        <v>754</v>
      </c>
      <c r="B155" s="318"/>
      <c r="C155" s="1794">
        <v>58.536999999999999</v>
      </c>
      <c r="D155" s="1792"/>
      <c r="E155" s="1794">
        <v>0</v>
      </c>
      <c r="F155" s="1792"/>
      <c r="G155" s="1794">
        <v>27.698</v>
      </c>
      <c r="H155" s="1792"/>
      <c r="I155" s="1794">
        <v>50</v>
      </c>
      <c r="J155" s="317"/>
      <c r="K155" s="1795">
        <f t="shared" si="8"/>
        <v>80.838999999999999</v>
      </c>
      <c r="L155" s="1301"/>
      <c r="M155" s="2048"/>
    </row>
    <row r="156" spans="1:13">
      <c r="A156" s="140" t="s">
        <v>755</v>
      </c>
      <c r="B156" s="318"/>
      <c r="C156" s="1802">
        <f>ROUND(SUM(C116:C155),3)</f>
        <v>-2552.0329999999999</v>
      </c>
      <c r="D156" s="140"/>
      <c r="E156" s="1802">
        <f>ROUND(SUM(E116:E155),3)</f>
        <v>441.428</v>
      </c>
      <c r="F156" s="140"/>
      <c r="G156" s="1802">
        <f>ROUND(SUM(G116:G155),3)</f>
        <v>1407.0260000000001</v>
      </c>
      <c r="H156" s="140"/>
      <c r="I156" s="1802">
        <f>ROUND(SUM(I116:I155),3)</f>
        <v>920.41700000000003</v>
      </c>
      <c r="J156" s="140"/>
      <c r="K156" s="1802">
        <f>ROUND(SUM(K116:K155),3)</f>
        <v>-2597.2139999999999</v>
      </c>
      <c r="L156" s="1301"/>
      <c r="M156" s="2048"/>
    </row>
    <row r="157" spans="1:13">
      <c r="A157" s="140"/>
      <c r="B157" s="318"/>
      <c r="C157" s="318"/>
      <c r="D157" s="318"/>
      <c r="E157" s="1169"/>
      <c r="F157" s="1169"/>
      <c r="G157" s="1169"/>
      <c r="H157" s="1169"/>
      <c r="I157" s="1169"/>
      <c r="J157" s="318"/>
      <c r="K157" s="318"/>
      <c r="L157" s="1301"/>
      <c r="M157" s="2048"/>
    </row>
    <row r="158" spans="1:13" ht="16" thickBot="1">
      <c r="A158" s="140" t="s">
        <v>756</v>
      </c>
      <c r="B158" s="141"/>
      <c r="C158" s="1807">
        <f>ROUND(SUM(C24+C103+C112+C156),3)</f>
        <v>75384.144</v>
      </c>
      <c r="D158" s="141"/>
      <c r="E158" s="1807">
        <f>ROUND(SUM(E24+E103+E112+E156),3)</f>
        <v>20875.379000000001</v>
      </c>
      <c r="F158" s="1808"/>
      <c r="G158" s="1807">
        <f>ROUND(SUM(G24+G103+G112+G156),3)</f>
        <v>18548.274000000001</v>
      </c>
      <c r="H158" s="1808"/>
      <c r="I158" s="1807">
        <f>ROUND(SUM(I24+I103+I112+I156),3)</f>
        <v>-5.1710000000000003</v>
      </c>
      <c r="J158" s="141"/>
      <c r="K158" s="1807">
        <f>ROUND(SUM(K24+K103+K112+K156),3)</f>
        <v>77706.077999999994</v>
      </c>
      <c r="L158" s="1301" t="s">
        <v>103</v>
      </c>
      <c r="M158" s="2048"/>
    </row>
    <row r="159" spans="1:13" ht="16" thickTop="1">
      <c r="A159" s="318"/>
      <c r="B159" s="318"/>
      <c r="C159" s="318" t="s">
        <v>103</v>
      </c>
      <c r="D159" s="318"/>
      <c r="E159" s="318"/>
      <c r="F159" s="318"/>
      <c r="G159" s="318"/>
      <c r="H159" s="318"/>
      <c r="I159" s="318"/>
      <c r="J159" s="318"/>
      <c r="K159" s="318" t="s">
        <v>103</v>
      </c>
    </row>
    <row r="160" spans="1:13">
      <c r="A160" s="318"/>
      <c r="B160" s="318"/>
      <c r="C160" s="318" t="s">
        <v>103</v>
      </c>
      <c r="D160" s="318"/>
      <c r="E160" s="318"/>
      <c r="F160" s="318"/>
      <c r="G160" s="318"/>
      <c r="H160" s="318"/>
      <c r="I160" s="318"/>
      <c r="J160" s="318"/>
      <c r="K160" s="318" t="s">
        <v>103</v>
      </c>
    </row>
    <row r="161" spans="1:11">
      <c r="A161" s="139"/>
      <c r="B161" s="318"/>
      <c r="C161" s="318"/>
      <c r="D161" s="318"/>
      <c r="E161" s="1170"/>
      <c r="F161" s="318"/>
      <c r="G161" s="318" t="s">
        <v>103</v>
      </c>
      <c r="H161" s="318"/>
      <c r="I161" s="1169" t="s">
        <v>103</v>
      </c>
      <c r="J161" s="318"/>
      <c r="K161" s="899" t="s">
        <v>103</v>
      </c>
    </row>
    <row r="162" spans="1:11">
      <c r="A162" s="318" t="s">
        <v>103</v>
      </c>
      <c r="B162" s="318"/>
      <c r="C162" s="318"/>
      <c r="D162" s="318"/>
      <c r="E162" s="318"/>
      <c r="F162" s="318"/>
      <c r="G162" s="320" t="s">
        <v>103</v>
      </c>
      <c r="H162" s="318"/>
      <c r="I162" s="318" t="s">
        <v>103</v>
      </c>
      <c r="J162" s="318"/>
      <c r="K162" s="318" t="s">
        <v>103</v>
      </c>
    </row>
    <row r="163" spans="1:11">
      <c r="A163" s="318"/>
      <c r="B163" s="318"/>
      <c r="C163" s="318"/>
      <c r="D163" s="318"/>
      <c r="E163" s="318"/>
      <c r="F163" s="318"/>
      <c r="G163" s="318"/>
      <c r="H163" s="318"/>
      <c r="I163" s="318" t="s">
        <v>103</v>
      </c>
      <c r="J163" s="318"/>
      <c r="K163" s="318" t="s">
        <v>103</v>
      </c>
    </row>
    <row r="164" spans="1:11">
      <c r="A164" s="322"/>
      <c r="B164" s="318"/>
      <c r="C164" s="318"/>
      <c r="D164" s="318"/>
      <c r="E164" s="318"/>
      <c r="F164" s="318"/>
      <c r="G164" s="318"/>
      <c r="H164" s="318"/>
      <c r="I164" s="323" t="s">
        <v>103</v>
      </c>
      <c r="J164" s="318"/>
      <c r="K164" s="318" t="s">
        <v>103</v>
      </c>
    </row>
    <row r="165" spans="1:11">
      <c r="I165" s="1171" t="s">
        <v>103</v>
      </c>
      <c r="K165" s="846" t="s">
        <v>103</v>
      </c>
    </row>
    <row r="169" spans="1:11">
      <c r="I169" s="142"/>
    </row>
  </sheetData>
  <printOptions horizontalCentered="1"/>
  <pageMargins left="0.5" right="0.25" top="0.32" bottom="0.25"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69140625" defaultRowHeight="17.5"/>
  <cols>
    <col min="1" max="1" width="55.69140625" style="704" customWidth="1"/>
    <col min="2" max="2" width="6.07421875" style="704" customWidth="1"/>
    <col min="3" max="3" width="20.69140625" style="704" customWidth="1"/>
    <col min="4" max="4" width="1.69140625" style="704" customWidth="1"/>
    <col min="5" max="5" width="20.69140625" style="704" customWidth="1"/>
    <col min="6" max="6" width="1.69140625" style="704" customWidth="1"/>
    <col min="7" max="7" width="20.69140625" style="704" customWidth="1"/>
    <col min="8" max="8" width="1.69140625" style="704" customWidth="1"/>
    <col min="9" max="9" width="20.69140625" style="704" customWidth="1"/>
    <col min="10" max="10" width="1.69140625" style="704" customWidth="1"/>
    <col min="11" max="11" width="20.69140625" style="704" customWidth="1"/>
    <col min="12" max="12" width="15.53515625" style="704" customWidth="1"/>
    <col min="13" max="13" width="9.69140625" style="704" bestFit="1" customWidth="1"/>
    <col min="14" max="16384" width="8.69140625" style="704"/>
  </cols>
  <sheetData>
    <row r="1" spans="1:11">
      <c r="A1" s="275" t="s">
        <v>97</v>
      </c>
    </row>
    <row r="2" spans="1:11">
      <c r="A2" s="857"/>
    </row>
    <row r="3" spans="1:11" s="143" customFormat="1" ht="18" customHeight="1">
      <c r="A3" s="147" t="s">
        <v>98</v>
      </c>
      <c r="B3" s="858"/>
      <c r="C3" s="858"/>
      <c r="D3" s="858"/>
      <c r="E3" s="1172"/>
      <c r="F3" s="1172"/>
      <c r="I3" s="147"/>
      <c r="J3" s="147"/>
      <c r="K3" s="150" t="s">
        <v>757</v>
      </c>
    </row>
    <row r="4" spans="1:11" s="143" customFormat="1" ht="18" customHeight="1">
      <c r="A4" s="147" t="s">
        <v>207</v>
      </c>
      <c r="B4" s="858"/>
      <c r="C4" s="858"/>
      <c r="D4" s="858"/>
      <c r="E4" s="1172"/>
      <c r="F4" s="1172"/>
      <c r="I4" s="147"/>
      <c r="J4" s="147"/>
      <c r="K4" s="147"/>
    </row>
    <row r="5" spans="1:11" s="143" customFormat="1" ht="18" customHeight="1">
      <c r="A5" s="153" t="s">
        <v>758</v>
      </c>
      <c r="B5" s="858"/>
      <c r="C5" s="858"/>
      <c r="D5" s="858"/>
      <c r="E5" s="1172"/>
      <c r="F5" s="1172"/>
      <c r="I5" s="147"/>
      <c r="J5" s="147"/>
      <c r="K5" s="147"/>
    </row>
    <row r="6" spans="1:11" s="143" customFormat="1" ht="18" customHeight="1">
      <c r="A6" s="153" t="s">
        <v>759</v>
      </c>
      <c r="B6" s="858"/>
      <c r="C6" s="858"/>
      <c r="D6" s="858"/>
      <c r="E6" s="1172"/>
      <c r="F6" s="1172"/>
      <c r="I6" s="147"/>
      <c r="J6" s="147"/>
      <c r="K6" s="147"/>
    </row>
    <row r="7" spans="1:11" s="143" customFormat="1" ht="18" customHeight="1">
      <c r="A7" s="153" t="str">
        <f>'Sch 1 '!A7</f>
        <v>FISCAL YEAR 2024-2025</v>
      </c>
      <c r="B7" s="858"/>
      <c r="C7" s="858"/>
      <c r="D7" s="858"/>
      <c r="E7" s="1172"/>
      <c r="F7" s="1172"/>
      <c r="I7" s="147"/>
      <c r="J7" s="147"/>
      <c r="K7" s="147"/>
    </row>
    <row r="8" spans="1:11" s="143" customFormat="1" ht="18" customHeight="1">
      <c r="A8" s="153" t="str">
        <f>'Sch 1 '!A8</f>
        <v>FOR THE MONTH OF FEBRUARY 2025</v>
      </c>
      <c r="B8" s="858"/>
      <c r="C8" s="858"/>
      <c r="D8" s="858"/>
      <c r="E8" s="1172" t="s">
        <v>103</v>
      </c>
      <c r="G8" s="1172"/>
      <c r="I8" s="147"/>
      <c r="J8" s="147"/>
      <c r="K8" s="147"/>
    </row>
    <row r="9" spans="1:11" s="143" customFormat="1" ht="18" customHeight="1">
      <c r="A9" s="147" t="s">
        <v>102</v>
      </c>
      <c r="B9" s="858"/>
      <c r="C9" s="858"/>
      <c r="D9" s="858"/>
      <c r="E9" s="1172"/>
      <c r="F9" s="1172"/>
      <c r="I9" s="147"/>
      <c r="J9" s="147"/>
      <c r="K9" s="147"/>
    </row>
    <row r="10" spans="1:11" s="143" customFormat="1" ht="18">
      <c r="A10" s="147"/>
      <c r="B10" s="147"/>
      <c r="D10" s="147"/>
    </row>
    <row r="11" spans="1:11" s="143" customFormat="1" ht="18">
      <c r="A11" s="147"/>
      <c r="B11" s="147"/>
      <c r="C11" s="147"/>
      <c r="D11" s="147"/>
      <c r="E11" s="147"/>
      <c r="F11" s="147"/>
      <c r="G11" s="147"/>
      <c r="H11" s="147"/>
      <c r="I11" s="147"/>
      <c r="J11" s="147"/>
      <c r="K11" s="147"/>
    </row>
    <row r="12" spans="1:11" s="143" customFormat="1" ht="18">
      <c r="A12" s="147"/>
      <c r="B12" s="147"/>
      <c r="C12" s="163"/>
      <c r="D12" s="147"/>
      <c r="E12" s="147"/>
      <c r="F12" s="147"/>
      <c r="G12" s="147"/>
      <c r="H12" s="147"/>
      <c r="I12" s="163" t="s">
        <v>760</v>
      </c>
      <c r="J12" s="147"/>
      <c r="K12" s="163"/>
    </row>
    <row r="13" spans="1:11" s="143" customFormat="1" ht="18">
      <c r="A13" s="147"/>
      <c r="B13" s="147"/>
      <c r="C13" s="163" t="s">
        <v>617</v>
      </c>
      <c r="D13" s="147"/>
      <c r="E13" s="147"/>
      <c r="F13" s="147"/>
      <c r="G13" s="147"/>
      <c r="H13" s="147"/>
      <c r="I13" s="163" t="s">
        <v>761</v>
      </c>
      <c r="J13" s="147"/>
      <c r="K13" s="163" t="s">
        <v>617</v>
      </c>
    </row>
    <row r="14" spans="1:11" s="143" customFormat="1" ht="18">
      <c r="A14" s="162" t="s">
        <v>762</v>
      </c>
      <c r="B14" s="147"/>
      <c r="C14" s="1173" t="str">
        <f>'Sch 1 '!C11</f>
        <v>FEBRUARY 1, 2025</v>
      </c>
      <c r="D14" s="147"/>
      <c r="E14" s="163" t="s">
        <v>619</v>
      </c>
      <c r="F14" s="147"/>
      <c r="G14" s="163" t="s">
        <v>620</v>
      </c>
      <c r="H14" s="147"/>
      <c r="I14" s="163" t="s">
        <v>621</v>
      </c>
      <c r="J14" s="147"/>
      <c r="K14" s="381" t="str">
        <f>'Sch 1 '!K11</f>
        <v>FEBRUARY 28, 2025</v>
      </c>
    </row>
    <row r="15" spans="1:11" s="143" customFormat="1" ht="12" customHeight="1">
      <c r="C15" s="1174"/>
      <c r="E15" s="1106"/>
      <c r="G15" s="1106"/>
      <c r="I15" s="1106"/>
      <c r="K15" s="1106"/>
    </row>
    <row r="16" spans="1:11" s="143" customFormat="1" ht="18">
      <c r="A16" s="154" t="s">
        <v>598</v>
      </c>
      <c r="E16" s="151"/>
    </row>
    <row r="17" spans="1:12" s="143" customFormat="1" ht="9.65" customHeight="1">
      <c r="E17" s="151"/>
    </row>
    <row r="18" spans="1:12" s="143" customFormat="1" ht="16.5" customHeight="1">
      <c r="A18" s="966" t="s">
        <v>763</v>
      </c>
      <c r="C18" s="1778">
        <v>379.46300000000002</v>
      </c>
      <c r="D18" s="1779"/>
      <c r="E18" s="1778">
        <v>18.722999999999999</v>
      </c>
      <c r="F18" s="1779"/>
      <c r="G18" s="1778">
        <v>13.420999999999999</v>
      </c>
      <c r="H18" s="1779"/>
      <c r="I18" s="1778">
        <v>0</v>
      </c>
      <c r="J18" s="1731"/>
      <c r="K18" s="602">
        <f>ROUND(SUM(C18)+SUM(E18)-SUM(G18)+SUM(I18),3)</f>
        <v>384.76499999999999</v>
      </c>
      <c r="L18" s="306"/>
    </row>
    <row r="19" spans="1:12" s="143" customFormat="1" ht="16.399999999999999" customHeight="1">
      <c r="A19" s="143" t="s">
        <v>764</v>
      </c>
      <c r="B19" s="144"/>
      <c r="C19" s="603">
        <v>0.219</v>
      </c>
      <c r="D19" s="1780"/>
      <c r="E19" s="603">
        <v>2E-3</v>
      </c>
      <c r="F19" s="1780"/>
      <c r="G19" s="603">
        <v>3.0000000000000001E-3</v>
      </c>
      <c r="H19" s="1780"/>
      <c r="I19" s="603">
        <v>0</v>
      </c>
      <c r="J19" s="601"/>
      <c r="K19" s="604">
        <f t="shared" ref="K19:K25" si="0">ROUND(SUM(C19)+SUM(E19)-SUM(G19)+SUM(I19),3)</f>
        <v>0.218</v>
      </c>
      <c r="L19" s="306"/>
    </row>
    <row r="20" spans="1:12" s="143" customFormat="1" ht="15.75" customHeight="1">
      <c r="A20" s="143" t="s">
        <v>765</v>
      </c>
      <c r="C20" s="603">
        <v>11.363</v>
      </c>
      <c r="D20" s="1780"/>
      <c r="E20" s="603">
        <v>0.52900000000000003</v>
      </c>
      <c r="F20" s="1780"/>
      <c r="G20" s="603">
        <v>1.0009999999999999</v>
      </c>
      <c r="H20" s="1780"/>
      <c r="I20" s="603">
        <v>0</v>
      </c>
      <c r="J20" s="601"/>
      <c r="K20" s="604">
        <f>ROUND(SUM(C20)+SUM(E20)-SUM(G20)+SUM(I20),3)</f>
        <v>10.891</v>
      </c>
      <c r="L20" s="306"/>
    </row>
    <row r="21" spans="1:12" s="143" customFormat="1" ht="16.399999999999999" customHeight="1">
      <c r="A21" s="143" t="s">
        <v>766</v>
      </c>
      <c r="C21" s="603">
        <v>3.1890000000000001</v>
      </c>
      <c r="D21" s="1780"/>
      <c r="E21" s="603">
        <v>3.282</v>
      </c>
      <c r="F21" s="1780"/>
      <c r="G21" s="603">
        <v>3.363</v>
      </c>
      <c r="H21" s="1780"/>
      <c r="I21" s="603">
        <v>0</v>
      </c>
      <c r="J21" s="601"/>
      <c r="K21" s="604">
        <f t="shared" si="0"/>
        <v>3.1080000000000001</v>
      </c>
      <c r="L21" s="306"/>
    </row>
    <row r="22" spans="1:12" s="143" customFormat="1" ht="16.399999999999999" customHeight="1">
      <c r="A22" s="143" t="s">
        <v>767</v>
      </c>
      <c r="C22" s="603">
        <v>17.872999999999998</v>
      </c>
      <c r="D22" s="1780"/>
      <c r="E22" s="603">
        <v>0.47699999999999998</v>
      </c>
      <c r="F22" s="1780"/>
      <c r="G22" s="603">
        <v>1.9159999999999999</v>
      </c>
      <c r="H22" s="1780"/>
      <c r="I22" s="603">
        <v>0</v>
      </c>
      <c r="J22" s="601"/>
      <c r="K22" s="604">
        <f t="shared" si="0"/>
        <v>16.434000000000001</v>
      </c>
      <c r="L22" s="306"/>
    </row>
    <row r="23" spans="1:12" s="143" customFormat="1" ht="16.399999999999999" customHeight="1">
      <c r="A23" s="143" t="s">
        <v>768</v>
      </c>
      <c r="C23" s="603">
        <v>1.8759999999999999</v>
      </c>
      <c r="D23" s="1780"/>
      <c r="E23" s="603">
        <v>7.0000000000000001E-3</v>
      </c>
      <c r="F23" s="1780"/>
      <c r="G23" s="603">
        <v>8.0000000000000002E-3</v>
      </c>
      <c r="H23" s="1780"/>
      <c r="I23" s="603">
        <v>0</v>
      </c>
      <c r="J23" s="601"/>
      <c r="K23" s="604">
        <f t="shared" si="0"/>
        <v>1.875</v>
      </c>
      <c r="L23" s="306"/>
    </row>
    <row r="24" spans="1:12" s="143" customFormat="1" ht="16.399999999999999" customHeight="1">
      <c r="A24" s="143" t="s">
        <v>769</v>
      </c>
      <c r="C24" s="603">
        <v>2.375</v>
      </c>
      <c r="D24" s="1780"/>
      <c r="E24" s="603">
        <v>2.5000000000000001E-2</v>
      </c>
      <c r="F24" s="1780"/>
      <c r="G24" s="603">
        <v>2.3E-2</v>
      </c>
      <c r="H24" s="1780"/>
      <c r="I24" s="603">
        <v>0</v>
      </c>
      <c r="J24" s="601"/>
      <c r="K24" s="604">
        <f t="shared" si="0"/>
        <v>2.3769999999999998</v>
      </c>
      <c r="L24" s="306"/>
    </row>
    <row r="25" spans="1:12" s="143" customFormat="1" ht="16.399999999999999" customHeight="1">
      <c r="A25" s="143" t="s">
        <v>770</v>
      </c>
      <c r="C25" s="603">
        <v>7.0129999999999999</v>
      </c>
      <c r="D25" s="1780"/>
      <c r="E25" s="603">
        <v>0.156</v>
      </c>
      <c r="F25" s="1780"/>
      <c r="G25" s="603">
        <v>6.6000000000000003E-2</v>
      </c>
      <c r="H25" s="1780"/>
      <c r="I25" s="603">
        <v>0</v>
      </c>
      <c r="J25" s="601"/>
      <c r="K25" s="604">
        <f t="shared" si="0"/>
        <v>7.1029999999999998</v>
      </c>
      <c r="L25" s="306"/>
    </row>
    <row r="26" spans="1:12" s="143" customFormat="1" ht="16.399999999999999" customHeight="1">
      <c r="A26" s="892" t="s">
        <v>771</v>
      </c>
      <c r="C26" s="603">
        <v>109.015</v>
      </c>
      <c r="D26" s="1780"/>
      <c r="E26" s="603">
        <v>263.75599999999997</v>
      </c>
      <c r="F26" s="1780"/>
      <c r="G26" s="603">
        <v>267.97300000000001</v>
      </c>
      <c r="H26" s="1780"/>
      <c r="I26" s="603">
        <v>0</v>
      </c>
      <c r="J26" s="601"/>
      <c r="K26" s="604">
        <f>ROUND(SUM(C26)+SUM(E26)-SUM(G26)+SUM(I26),3)</f>
        <v>104.798</v>
      </c>
      <c r="L26" s="306"/>
    </row>
    <row r="27" spans="1:12" s="143" customFormat="1" ht="16.399999999999999" customHeight="1">
      <c r="A27" s="151" t="s">
        <v>772</v>
      </c>
      <c r="C27" s="603">
        <v>262.50400000000002</v>
      </c>
      <c r="D27" s="1780"/>
      <c r="E27" s="603">
        <v>350.46</v>
      </c>
      <c r="F27" s="1780"/>
      <c r="G27" s="603">
        <v>233.98699999999999</v>
      </c>
      <c r="H27" s="1780"/>
      <c r="I27" s="603">
        <v>0</v>
      </c>
      <c r="J27" s="601"/>
      <c r="K27" s="604">
        <f>ROUND(SUM(C27)+SUM(E27)-SUM(G27)+SUM(I27),3)</f>
        <v>378.97699999999998</v>
      </c>
      <c r="L27" s="306"/>
    </row>
    <row r="28" spans="1:12" s="143" customFormat="1" ht="20.149999999999999" customHeight="1">
      <c r="A28" s="147" t="s">
        <v>773</v>
      </c>
      <c r="C28" s="1107">
        <f>ROUND(SUM(C18:C27),3)</f>
        <v>794.89</v>
      </c>
      <c r="D28" s="303"/>
      <c r="E28" s="1107">
        <f>ROUND(SUM(E18:E27),3)</f>
        <v>637.41700000000003</v>
      </c>
      <c r="F28" s="303"/>
      <c r="G28" s="1107">
        <f>ROUND(SUM(G18:G27),3)</f>
        <v>521.76099999999997</v>
      </c>
      <c r="H28" s="303"/>
      <c r="I28" s="1107">
        <f>ROUND(SUM(I18:I27),3)</f>
        <v>0</v>
      </c>
      <c r="J28" s="303"/>
      <c r="K28" s="1107">
        <f>ROUND(SUM(K18:K27),3)</f>
        <v>910.54600000000005</v>
      </c>
      <c r="L28" s="306"/>
    </row>
    <row r="29" spans="1:12" s="143" customFormat="1" ht="15" customHeight="1">
      <c r="C29" s="1108"/>
      <c r="D29" s="145"/>
      <c r="E29" s="1108"/>
      <c r="F29" s="145"/>
      <c r="G29" s="1108"/>
      <c r="H29" s="145"/>
      <c r="I29" s="145"/>
      <c r="J29" s="145"/>
      <c r="K29" s="1108"/>
      <c r="L29" s="306"/>
    </row>
    <row r="30" spans="1:12" s="143" customFormat="1" ht="15" customHeight="1">
      <c r="C30" s="145"/>
      <c r="D30" s="1790" t="s">
        <v>616</v>
      </c>
      <c r="E30" s="145"/>
      <c r="F30" s="145"/>
      <c r="G30" s="145"/>
      <c r="H30" s="145"/>
      <c r="I30" s="145"/>
      <c r="J30" s="145"/>
      <c r="K30" s="145"/>
      <c r="L30" s="306"/>
    </row>
    <row r="31" spans="1:12" s="143" customFormat="1" ht="15" customHeight="1">
      <c r="C31" s="145"/>
      <c r="D31" s="145"/>
      <c r="E31" s="145"/>
      <c r="F31" s="145"/>
      <c r="G31" s="145"/>
      <c r="H31" s="145"/>
      <c r="I31" s="145"/>
      <c r="J31" s="145"/>
      <c r="K31" s="145"/>
      <c r="L31" s="306"/>
    </row>
    <row r="32" spans="1:12" s="143" customFormat="1" ht="18" customHeight="1">
      <c r="A32" s="154" t="s">
        <v>605</v>
      </c>
      <c r="C32" s="145"/>
      <c r="D32" s="145"/>
      <c r="E32" s="145"/>
      <c r="F32" s="145"/>
      <c r="G32" s="145"/>
      <c r="H32" s="145"/>
      <c r="I32" s="145"/>
      <c r="J32" s="145"/>
      <c r="K32" s="145"/>
      <c r="L32" s="306"/>
    </row>
    <row r="33" spans="1:15" s="143" customFormat="1" ht="9.65" customHeight="1">
      <c r="A33" s="154"/>
      <c r="C33" s="145"/>
      <c r="D33" s="145"/>
      <c r="E33" s="145"/>
      <c r="F33" s="145"/>
      <c r="G33" s="145"/>
      <c r="H33" s="145"/>
      <c r="I33" s="145"/>
      <c r="J33" s="145"/>
      <c r="K33" s="145"/>
      <c r="L33" s="306"/>
    </row>
    <row r="34" spans="1:15" s="143" customFormat="1" ht="16.399999999999999" customHeight="1">
      <c r="A34" s="143" t="s">
        <v>774</v>
      </c>
      <c r="C34" s="603">
        <v>9.3320000000000007</v>
      </c>
      <c r="D34" s="1780"/>
      <c r="E34" s="603">
        <v>40.042000000000002</v>
      </c>
      <c r="F34" s="1780"/>
      <c r="G34" s="603">
        <v>55.423999999999999</v>
      </c>
      <c r="H34" s="1780"/>
      <c r="I34" s="603">
        <v>0.54700000000000004</v>
      </c>
      <c r="J34" s="601"/>
      <c r="K34" s="604">
        <f t="shared" ref="K34:K41" si="1">ROUND(SUM(C34)+SUM(E34)-SUM(G34)+SUM(I34),3)</f>
        <v>-5.5030000000000001</v>
      </c>
      <c r="L34" s="306"/>
      <c r="M34" s="145"/>
    </row>
    <row r="35" spans="1:15" s="143" customFormat="1" ht="16.399999999999999" customHeight="1">
      <c r="A35" s="143" t="s">
        <v>775</v>
      </c>
      <c r="C35" s="603">
        <v>26.564</v>
      </c>
      <c r="D35" s="1780"/>
      <c r="E35" s="603">
        <v>25.417999999999999</v>
      </c>
      <c r="F35" s="1780"/>
      <c r="G35" s="603">
        <v>14.039</v>
      </c>
      <c r="H35" s="1780"/>
      <c r="I35" s="603">
        <v>4.6769999999999996</v>
      </c>
      <c r="J35" s="601"/>
      <c r="K35" s="604">
        <f t="shared" si="1"/>
        <v>42.62</v>
      </c>
      <c r="L35" s="306"/>
      <c r="M35" s="145"/>
    </row>
    <row r="36" spans="1:15" s="143" customFormat="1" ht="16.399999999999999" customHeight="1">
      <c r="A36" s="143" t="s">
        <v>776</v>
      </c>
      <c r="C36" s="603">
        <v>0.23200000000000001</v>
      </c>
      <c r="D36" s="1780"/>
      <c r="E36" s="603">
        <v>7.0000000000000007E-2</v>
      </c>
      <c r="F36" s="1780"/>
      <c r="G36" s="603">
        <v>3.2000000000000001E-2</v>
      </c>
      <c r="H36" s="1780"/>
      <c r="I36" s="603">
        <v>0</v>
      </c>
      <c r="J36" s="601"/>
      <c r="K36" s="604">
        <f t="shared" si="1"/>
        <v>0.27</v>
      </c>
      <c r="L36" s="306"/>
      <c r="M36" s="145"/>
    </row>
    <row r="37" spans="1:15" s="143" customFormat="1" ht="16.399999999999999" customHeight="1">
      <c r="A37" s="143" t="s">
        <v>777</v>
      </c>
      <c r="C37" s="603">
        <v>5.3999999999999999E-2</v>
      </c>
      <c r="D37" s="1780"/>
      <c r="E37" s="603">
        <v>0</v>
      </c>
      <c r="F37" s="1780"/>
      <c r="G37" s="603">
        <v>0</v>
      </c>
      <c r="H37" s="1780"/>
      <c r="I37" s="603">
        <v>0</v>
      </c>
      <c r="J37" s="601"/>
      <c r="K37" s="604">
        <f t="shared" si="1"/>
        <v>5.3999999999999999E-2</v>
      </c>
      <c r="L37" s="306"/>
      <c r="M37" s="145"/>
    </row>
    <row r="38" spans="1:15" s="143" customFormat="1" ht="16.399999999999999" customHeight="1">
      <c r="A38" s="143" t="s">
        <v>778</v>
      </c>
      <c r="C38" s="603">
        <v>1.044</v>
      </c>
      <c r="D38" s="1780"/>
      <c r="E38" s="603">
        <v>5.0000000000000001E-3</v>
      </c>
      <c r="F38" s="1780"/>
      <c r="G38" s="603">
        <v>0.13200000000000001</v>
      </c>
      <c r="H38" s="1780"/>
      <c r="I38" s="603">
        <v>-3.0000000000000001E-3</v>
      </c>
      <c r="J38" s="601"/>
      <c r="K38" s="604">
        <f t="shared" si="1"/>
        <v>0.91400000000000003</v>
      </c>
      <c r="L38" s="306"/>
      <c r="M38" s="145"/>
    </row>
    <row r="39" spans="1:15" s="143" customFormat="1" ht="16.399999999999999" customHeight="1">
      <c r="A39" s="143" t="s">
        <v>779</v>
      </c>
      <c r="C39" s="603">
        <v>-64.724999999999994</v>
      </c>
      <c r="D39" s="1780"/>
      <c r="E39" s="603">
        <v>6.5960000000000001</v>
      </c>
      <c r="F39" s="1780"/>
      <c r="G39" s="603">
        <v>8.7949999999999999</v>
      </c>
      <c r="H39" s="1780"/>
      <c r="I39" s="603">
        <v>-0.05</v>
      </c>
      <c r="J39" s="601"/>
      <c r="K39" s="604">
        <f t="shared" si="1"/>
        <v>-66.974000000000004</v>
      </c>
      <c r="L39" s="306"/>
      <c r="M39" s="145" t="s">
        <v>103</v>
      </c>
    </row>
    <row r="40" spans="1:15" s="143" customFormat="1" ht="16.399999999999999" customHeight="1">
      <c r="A40" s="143" t="s">
        <v>780</v>
      </c>
      <c r="C40" s="603">
        <v>3.8370000000000002</v>
      </c>
      <c r="D40" s="1780"/>
      <c r="E40" s="603">
        <v>0</v>
      </c>
      <c r="F40" s="1780"/>
      <c r="G40" s="603">
        <v>1.4690000000000001</v>
      </c>
      <c r="H40" s="1780"/>
      <c r="I40" s="603">
        <v>0</v>
      </c>
      <c r="J40" s="601"/>
      <c r="K40" s="604">
        <f t="shared" si="1"/>
        <v>2.3679999999999999</v>
      </c>
      <c r="L40" s="306"/>
      <c r="M40" s="145" t="s">
        <v>103</v>
      </c>
    </row>
    <row r="41" spans="1:15" s="143" customFormat="1" ht="16.399999999999999" customHeight="1">
      <c r="A41" s="143" t="s">
        <v>781</v>
      </c>
      <c r="C41" s="603">
        <v>2.5590000000000002</v>
      </c>
      <c r="D41" s="1780"/>
      <c r="E41" s="603">
        <v>2.0640000000000001</v>
      </c>
      <c r="F41" s="1780"/>
      <c r="G41" s="603">
        <v>2.9060000000000001</v>
      </c>
      <c r="H41" s="1780"/>
      <c r="I41" s="603">
        <v>0</v>
      </c>
      <c r="J41" s="601"/>
      <c r="K41" s="604">
        <f t="shared" si="1"/>
        <v>1.7170000000000001</v>
      </c>
      <c r="L41" s="306"/>
      <c r="M41" s="145"/>
    </row>
    <row r="42" spans="1:15" s="143" customFormat="1" ht="20.149999999999999" customHeight="1">
      <c r="A42" s="147" t="s">
        <v>782</v>
      </c>
      <c r="C42" s="1107">
        <f>ROUND(SUM(C34:C41),3)</f>
        <v>-21.103000000000002</v>
      </c>
      <c r="D42" s="304"/>
      <c r="E42" s="1107">
        <f>ROUND(SUM(E34:E41),3)</f>
        <v>74.194999999999993</v>
      </c>
      <c r="F42" s="304"/>
      <c r="G42" s="1107">
        <f>ROUND(SUM(G34:G41),3)</f>
        <v>82.796999999999997</v>
      </c>
      <c r="H42" s="304"/>
      <c r="I42" s="1107">
        <f>ROUND(SUM(I34:I41),3)</f>
        <v>5.1710000000000003</v>
      </c>
      <c r="J42" s="304"/>
      <c r="K42" s="1107">
        <f>ROUND(SUM(K34:K41),3)</f>
        <v>-24.533999999999999</v>
      </c>
      <c r="L42" s="306"/>
    </row>
    <row r="43" spans="1:15" s="143" customFormat="1" ht="15" customHeight="1">
      <c r="A43" s="147"/>
      <c r="C43" s="2057"/>
      <c r="D43" s="705"/>
      <c r="E43" s="1109"/>
      <c r="F43" s="705"/>
      <c r="G43" s="1109"/>
      <c r="H43" s="705"/>
      <c r="I43" s="1175"/>
      <c r="J43" s="705"/>
      <c r="K43" s="1109"/>
      <c r="L43" s="306"/>
    </row>
    <row r="44" spans="1:15" s="143" customFormat="1" ht="15" customHeight="1">
      <c r="A44" s="147"/>
      <c r="C44" s="1175"/>
      <c r="D44" s="705"/>
      <c r="E44" s="705"/>
      <c r="F44" s="705"/>
      <c r="G44" s="705" t="s">
        <v>103</v>
      </c>
      <c r="H44" s="705"/>
      <c r="I44" s="1175"/>
      <c r="J44" s="705"/>
      <c r="K44" s="705"/>
      <c r="L44" s="306"/>
    </row>
    <row r="45" spans="1:15" s="143" customFormat="1" ht="20.149999999999999" customHeight="1" thickBot="1">
      <c r="A45" s="147" t="s">
        <v>210</v>
      </c>
      <c r="B45" s="144"/>
      <c r="C45" s="706">
        <f>ROUND(SUM(C42)+SUM(C28),3)</f>
        <v>773.78700000000003</v>
      </c>
      <c r="D45" s="307"/>
      <c r="E45" s="706">
        <f>ROUND(SUM(E42)+SUM(E28),3)</f>
        <v>711.61199999999997</v>
      </c>
      <c r="F45" s="307"/>
      <c r="G45" s="706">
        <f>ROUND(SUM(G42)+SUM(G28),3)</f>
        <v>604.55799999999999</v>
      </c>
      <c r="H45" s="307"/>
      <c r="I45" s="706">
        <f>ROUND(SUM(I42)+SUM(I28),3)</f>
        <v>5.1710000000000003</v>
      </c>
      <c r="J45" s="307"/>
      <c r="K45" s="706">
        <f>ROUND(SUM(K42)+SUM(K28),3)</f>
        <v>886.01199999999994</v>
      </c>
      <c r="L45" s="306"/>
    </row>
    <row r="46" spans="1:15" s="143" customFormat="1" ht="18" thickTop="1">
      <c r="C46" s="707"/>
      <c r="D46" s="705"/>
      <c r="E46" s="707" t="s">
        <v>103</v>
      </c>
      <c r="F46" s="705"/>
      <c r="G46" s="707"/>
      <c r="H46" s="705"/>
      <c r="I46" s="302"/>
      <c r="J46" s="705"/>
      <c r="K46" s="707"/>
    </row>
    <row r="47" spans="1:15" s="143" customFormat="1">
      <c r="A47" s="859"/>
      <c r="B47" s="704"/>
      <c r="C47" s="708"/>
      <c r="D47" s="708"/>
      <c r="E47" s="1176" t="s">
        <v>103</v>
      </c>
      <c r="F47" s="1176"/>
      <c r="G47" s="1177"/>
      <c r="H47" s="1176" t="s">
        <v>103</v>
      </c>
      <c r="I47" s="1178" t="s">
        <v>103</v>
      </c>
      <c r="J47" s="708"/>
      <c r="K47" s="860"/>
      <c r="L47" s="704"/>
      <c r="M47" s="704"/>
      <c r="N47" s="704"/>
      <c r="O47" s="704"/>
    </row>
    <row r="48" spans="1:15" s="143" customFormat="1">
      <c r="A48" s="704"/>
      <c r="B48" s="704"/>
      <c r="C48" s="708"/>
      <c r="D48" s="708"/>
      <c r="E48" s="309" t="s">
        <v>103</v>
      </c>
      <c r="F48" s="309"/>
      <c r="G48" s="309"/>
      <c r="H48" s="309"/>
      <c r="I48" s="309" t="s">
        <v>103</v>
      </c>
      <c r="J48" s="309"/>
      <c r="K48" s="309"/>
      <c r="L48" s="704"/>
      <c r="M48" s="704"/>
      <c r="N48" s="704"/>
      <c r="O48" s="704"/>
    </row>
    <row r="49" spans="1:15" s="143" customFormat="1">
      <c r="A49" s="704"/>
      <c r="B49" s="704"/>
      <c r="C49" s="708"/>
      <c r="D49" s="708"/>
      <c r="E49" s="708" t="s">
        <v>103</v>
      </c>
      <c r="F49" s="708"/>
      <c r="G49" s="1179"/>
      <c r="H49" s="704"/>
      <c r="I49" s="1180" t="s">
        <v>103</v>
      </c>
      <c r="J49" s="708"/>
      <c r="K49" s="708"/>
      <c r="L49" s="704"/>
      <c r="M49" s="704"/>
      <c r="N49" s="704"/>
      <c r="O49" s="704"/>
    </row>
    <row r="50" spans="1:15" s="143" customFormat="1">
      <c r="A50" s="704"/>
      <c r="B50" s="704"/>
      <c r="C50" s="708"/>
      <c r="D50" s="708"/>
      <c r="E50" s="309" t="s">
        <v>103</v>
      </c>
      <c r="F50" s="708"/>
      <c r="G50" s="708"/>
      <c r="H50" s="704"/>
      <c r="I50" s="1180" t="s">
        <v>103</v>
      </c>
      <c r="J50" s="708"/>
      <c r="K50" s="708"/>
      <c r="L50" s="704"/>
      <c r="M50" s="704"/>
      <c r="N50" s="704"/>
      <c r="O50" s="704"/>
    </row>
    <row r="51" spans="1:15" s="143" customFormat="1">
      <c r="A51" s="704"/>
      <c r="B51" s="704"/>
      <c r="C51" s="708"/>
      <c r="D51" s="708"/>
      <c r="E51" s="309" t="s">
        <v>103</v>
      </c>
      <c r="F51" s="708"/>
      <c r="G51" s="708"/>
      <c r="H51" s="704"/>
      <c r="I51" s="1180" t="s">
        <v>103</v>
      </c>
      <c r="J51" s="708"/>
      <c r="K51" s="708"/>
      <c r="L51" s="704"/>
      <c r="M51" s="704"/>
      <c r="N51" s="704"/>
      <c r="O51" s="704"/>
    </row>
    <row r="52" spans="1:15" s="143" customFormat="1">
      <c r="A52" s="704"/>
      <c r="B52" s="704"/>
      <c r="C52" s="708"/>
      <c r="D52" s="708"/>
      <c r="E52" s="708"/>
      <c r="F52" s="708"/>
      <c r="G52" s="708"/>
      <c r="H52" s="704"/>
      <c r="I52" s="1180" t="s">
        <v>103</v>
      </c>
      <c r="J52" s="708"/>
      <c r="K52" s="708"/>
      <c r="L52" s="704"/>
      <c r="M52" s="704"/>
      <c r="N52" s="704"/>
      <c r="O52" s="704"/>
    </row>
    <row r="53" spans="1:15" s="143" customFormat="1">
      <c r="B53" s="704"/>
      <c r="C53" s="708"/>
      <c r="D53" s="708"/>
      <c r="E53" s="708"/>
      <c r="F53" s="708"/>
      <c r="G53" s="708"/>
      <c r="H53" s="704"/>
      <c r="I53" s="1180" t="s">
        <v>103</v>
      </c>
      <c r="J53" s="708"/>
      <c r="K53" s="708"/>
      <c r="L53" s="704"/>
      <c r="M53" s="704"/>
      <c r="N53" s="704"/>
      <c r="O53" s="704"/>
    </row>
    <row r="54" spans="1:15" s="143" customFormat="1">
      <c r="A54" s="704"/>
      <c r="B54" s="704"/>
      <c r="C54" s="708"/>
      <c r="D54" s="708"/>
      <c r="E54" s="708"/>
      <c r="F54" s="708"/>
      <c r="G54" s="708"/>
      <c r="H54" s="704"/>
      <c r="I54" s="704"/>
      <c r="J54" s="708"/>
      <c r="K54" s="708"/>
      <c r="L54" s="704"/>
      <c r="M54" s="704"/>
      <c r="N54" s="704"/>
      <c r="O54" s="704"/>
    </row>
    <row r="55" spans="1:15" s="143" customFormat="1">
      <c r="A55" s="704"/>
      <c r="B55" s="704"/>
      <c r="C55" s="708"/>
      <c r="D55" s="708"/>
      <c r="E55" s="708"/>
      <c r="F55" s="708"/>
      <c r="G55" s="708"/>
      <c r="H55" s="704"/>
      <c r="I55" s="704"/>
      <c r="J55" s="708"/>
      <c r="K55" s="708"/>
      <c r="L55" s="704"/>
      <c r="M55" s="704"/>
      <c r="N55" s="704"/>
      <c r="O55" s="704"/>
    </row>
    <row r="56" spans="1:15" s="143" customFormat="1">
      <c r="A56" s="704"/>
      <c r="B56" s="704"/>
      <c r="C56" s="708"/>
      <c r="D56" s="708"/>
      <c r="E56" s="708"/>
      <c r="F56" s="708"/>
      <c r="G56" s="708"/>
      <c r="H56" s="704"/>
      <c r="I56" s="704"/>
      <c r="J56" s="708"/>
      <c r="K56" s="708"/>
      <c r="L56" s="704"/>
      <c r="M56" s="704"/>
      <c r="N56" s="704"/>
      <c r="O56" s="704"/>
    </row>
    <row r="57" spans="1:15" s="143" customFormat="1">
      <c r="A57" s="704"/>
      <c r="B57" s="704"/>
      <c r="C57" s="708"/>
      <c r="D57" s="708"/>
      <c r="E57" s="708"/>
      <c r="F57" s="708"/>
      <c r="G57" s="708"/>
      <c r="H57" s="704"/>
      <c r="I57" s="704"/>
      <c r="J57" s="708"/>
      <c r="K57" s="708"/>
      <c r="L57" s="704"/>
      <c r="M57" s="704"/>
      <c r="N57" s="704"/>
      <c r="O57" s="704"/>
    </row>
    <row r="58" spans="1:15" s="143" customFormat="1">
      <c r="A58" s="704"/>
      <c r="B58" s="704"/>
      <c r="C58" s="708"/>
      <c r="D58" s="708"/>
      <c r="E58" s="708"/>
      <c r="F58" s="708"/>
      <c r="G58" s="708"/>
      <c r="H58" s="704"/>
      <c r="I58" s="704"/>
      <c r="J58" s="708"/>
      <c r="K58" s="708"/>
      <c r="L58" s="704"/>
      <c r="M58" s="704"/>
      <c r="N58" s="704"/>
      <c r="O58" s="704"/>
    </row>
    <row r="59" spans="1:15" s="143" customFormat="1">
      <c r="A59" s="704"/>
      <c r="B59" s="704"/>
      <c r="C59" s="708"/>
      <c r="D59" s="708"/>
      <c r="E59" s="708"/>
      <c r="F59" s="708"/>
      <c r="G59" s="708"/>
      <c r="H59" s="704"/>
      <c r="I59" s="704"/>
      <c r="J59" s="708"/>
      <c r="K59" s="708"/>
      <c r="L59" s="704"/>
      <c r="M59" s="704"/>
      <c r="N59" s="704"/>
      <c r="O59" s="704"/>
    </row>
    <row r="60" spans="1:15" s="143" customFormat="1">
      <c r="A60" s="704"/>
      <c r="B60" s="704"/>
      <c r="C60" s="708"/>
      <c r="D60" s="708"/>
      <c r="E60" s="708"/>
      <c r="F60" s="708"/>
      <c r="G60" s="708"/>
      <c r="H60" s="704"/>
      <c r="I60" s="704"/>
      <c r="J60" s="708"/>
      <c r="K60" s="708"/>
      <c r="L60" s="704"/>
      <c r="M60" s="704"/>
      <c r="N60" s="704"/>
      <c r="O60" s="704"/>
    </row>
    <row r="61" spans="1:15" s="143" customFormat="1">
      <c r="A61" s="704"/>
      <c r="B61" s="704"/>
      <c r="C61" s="708"/>
      <c r="D61" s="708"/>
      <c r="E61" s="708"/>
      <c r="F61" s="708"/>
      <c r="G61" s="708"/>
      <c r="H61" s="704"/>
      <c r="I61" s="704"/>
      <c r="J61" s="708"/>
      <c r="K61" s="708"/>
      <c r="L61" s="704"/>
      <c r="M61" s="704"/>
      <c r="N61" s="704"/>
      <c r="O61" s="704"/>
    </row>
    <row r="62" spans="1:15" s="143" customFormat="1">
      <c r="A62" s="704"/>
      <c r="B62" s="704"/>
      <c r="C62" s="708"/>
      <c r="D62" s="708"/>
      <c r="E62" s="708"/>
      <c r="F62" s="708"/>
      <c r="G62" s="708"/>
      <c r="H62" s="704"/>
      <c r="I62" s="704"/>
      <c r="J62" s="708"/>
      <c r="K62" s="708"/>
      <c r="L62" s="704"/>
      <c r="M62" s="704"/>
      <c r="N62" s="704"/>
      <c r="O62" s="704"/>
    </row>
    <row r="63" spans="1:15" s="143" customFormat="1">
      <c r="A63" s="704"/>
      <c r="B63" s="704"/>
      <c r="C63" s="708"/>
      <c r="D63" s="708"/>
      <c r="E63" s="708"/>
      <c r="F63" s="708"/>
      <c r="G63" s="708"/>
      <c r="H63" s="704"/>
      <c r="I63" s="704"/>
      <c r="J63" s="708"/>
      <c r="K63" s="708"/>
      <c r="L63" s="704"/>
      <c r="M63" s="704"/>
      <c r="N63" s="704"/>
      <c r="O63" s="704"/>
    </row>
    <row r="64" spans="1:15" s="143" customFormat="1">
      <c r="A64" s="704"/>
      <c r="B64" s="704"/>
      <c r="C64" s="708"/>
      <c r="D64" s="708"/>
      <c r="E64" s="708"/>
      <c r="F64" s="708"/>
      <c r="G64" s="708"/>
      <c r="H64" s="704"/>
      <c r="I64" s="704"/>
      <c r="J64" s="708"/>
      <c r="K64" s="708"/>
      <c r="L64" s="704"/>
      <c r="M64" s="704"/>
      <c r="N64" s="704"/>
      <c r="O64" s="704"/>
    </row>
    <row r="65" spans="1:15" s="143" customFormat="1">
      <c r="A65" s="704"/>
      <c r="B65" s="704"/>
      <c r="C65" s="708"/>
      <c r="D65" s="708"/>
      <c r="E65" s="708"/>
      <c r="F65" s="708"/>
      <c r="G65" s="708"/>
      <c r="H65" s="704"/>
      <c r="I65" s="704"/>
      <c r="J65" s="708"/>
      <c r="K65" s="708"/>
      <c r="L65" s="704"/>
      <c r="M65" s="704"/>
      <c r="N65" s="704"/>
      <c r="O65" s="704"/>
    </row>
    <row r="66" spans="1:15" s="143" customFormat="1">
      <c r="A66" s="704"/>
      <c r="B66" s="704"/>
      <c r="C66" s="708"/>
      <c r="D66" s="708"/>
      <c r="E66" s="708"/>
      <c r="F66" s="708"/>
      <c r="G66" s="708"/>
      <c r="H66" s="704"/>
      <c r="I66" s="704"/>
      <c r="J66" s="708"/>
      <c r="K66" s="708"/>
      <c r="L66" s="704"/>
      <c r="M66" s="704"/>
      <c r="N66" s="704"/>
      <c r="O66" s="704"/>
    </row>
    <row r="67" spans="1:15" s="143" customFormat="1">
      <c r="A67" s="704"/>
      <c r="B67" s="704"/>
      <c r="C67" s="708"/>
      <c r="D67" s="708"/>
      <c r="E67" s="708"/>
      <c r="F67" s="708"/>
      <c r="G67" s="708"/>
      <c r="H67" s="704"/>
      <c r="I67" s="704"/>
      <c r="J67" s="708"/>
      <c r="K67" s="708"/>
      <c r="L67" s="704"/>
      <c r="M67" s="704"/>
      <c r="N67" s="704"/>
      <c r="O67" s="704"/>
    </row>
    <row r="68" spans="1:15" s="143" customFormat="1">
      <c r="A68" s="704"/>
      <c r="B68" s="704"/>
      <c r="C68" s="708"/>
      <c r="D68" s="708"/>
      <c r="E68" s="708"/>
      <c r="F68" s="708"/>
      <c r="G68" s="708"/>
      <c r="H68" s="704"/>
      <c r="I68" s="704"/>
      <c r="J68" s="708"/>
      <c r="K68" s="708"/>
      <c r="L68" s="704"/>
      <c r="M68" s="704"/>
      <c r="N68" s="704"/>
      <c r="O68" s="704"/>
    </row>
    <row r="69" spans="1:15" s="143" customFormat="1">
      <c r="A69" s="704"/>
      <c r="B69" s="704"/>
      <c r="C69" s="708"/>
      <c r="D69" s="708"/>
      <c r="E69" s="708"/>
      <c r="F69" s="708"/>
      <c r="G69" s="708"/>
      <c r="H69" s="704"/>
      <c r="I69" s="704"/>
      <c r="J69" s="708"/>
      <c r="K69" s="708"/>
      <c r="L69" s="704"/>
      <c r="M69" s="704"/>
      <c r="N69" s="704"/>
      <c r="O69" s="704"/>
    </row>
    <row r="70" spans="1:15" s="143" customFormat="1">
      <c r="A70" s="704"/>
      <c r="B70" s="704"/>
      <c r="C70" s="708"/>
      <c r="D70" s="708"/>
      <c r="E70" s="708"/>
      <c r="F70" s="708"/>
      <c r="G70" s="708"/>
      <c r="H70" s="704"/>
      <c r="I70" s="704"/>
      <c r="J70" s="708"/>
      <c r="K70" s="708"/>
      <c r="L70" s="704"/>
      <c r="M70" s="704"/>
      <c r="N70" s="704"/>
      <c r="O70" s="704"/>
    </row>
    <row r="71" spans="1:15" s="143" customFormat="1">
      <c r="A71" s="704"/>
      <c r="B71" s="704"/>
      <c r="C71" s="708"/>
      <c r="D71" s="708"/>
      <c r="E71" s="708"/>
      <c r="F71" s="708"/>
      <c r="G71" s="708"/>
      <c r="H71" s="704"/>
      <c r="I71" s="704"/>
      <c r="J71" s="708"/>
      <c r="K71" s="708"/>
      <c r="L71" s="704"/>
      <c r="M71" s="704"/>
      <c r="N71" s="704"/>
      <c r="O71" s="704"/>
    </row>
    <row r="72" spans="1:15" s="143" customFormat="1">
      <c r="A72" s="704"/>
      <c r="B72" s="704"/>
      <c r="C72" s="708"/>
      <c r="D72" s="708"/>
      <c r="E72" s="708"/>
      <c r="F72" s="708"/>
      <c r="G72" s="708"/>
      <c r="H72" s="704"/>
      <c r="I72" s="704"/>
      <c r="J72" s="708"/>
      <c r="K72" s="708"/>
      <c r="L72" s="704"/>
      <c r="M72" s="704"/>
      <c r="N72" s="704"/>
      <c r="O72" s="704"/>
    </row>
    <row r="73" spans="1:15" s="143" customFormat="1">
      <c r="A73" s="704"/>
      <c r="B73" s="704"/>
      <c r="C73" s="708"/>
      <c r="D73" s="708"/>
      <c r="E73" s="708"/>
      <c r="F73" s="708"/>
      <c r="G73" s="708"/>
      <c r="H73" s="704"/>
      <c r="I73" s="704"/>
      <c r="J73" s="708"/>
      <c r="K73" s="708"/>
      <c r="L73" s="704"/>
      <c r="M73" s="704"/>
      <c r="N73" s="704"/>
      <c r="O73" s="704"/>
    </row>
    <row r="74" spans="1:15" s="143" customFormat="1">
      <c r="A74" s="704"/>
      <c r="B74" s="704"/>
      <c r="C74" s="708"/>
      <c r="D74" s="708"/>
      <c r="E74" s="708"/>
      <c r="F74" s="708"/>
      <c r="G74" s="708"/>
      <c r="H74" s="704"/>
      <c r="I74" s="704"/>
      <c r="J74" s="708"/>
      <c r="K74" s="708"/>
      <c r="L74" s="704"/>
      <c r="M74" s="704"/>
      <c r="N74" s="704"/>
      <c r="O74" s="704"/>
    </row>
    <row r="75" spans="1:15" s="143" customFormat="1">
      <c r="A75" s="704"/>
      <c r="B75" s="704"/>
      <c r="C75" s="708"/>
      <c r="D75" s="708"/>
      <c r="E75" s="708"/>
      <c r="F75" s="708"/>
      <c r="G75" s="708"/>
      <c r="H75" s="704"/>
      <c r="I75" s="704"/>
      <c r="J75" s="708"/>
      <c r="K75" s="708"/>
      <c r="L75" s="704"/>
      <c r="M75" s="704"/>
      <c r="N75" s="704"/>
      <c r="O75" s="704"/>
    </row>
    <row r="76" spans="1:15" s="143" customFormat="1">
      <c r="A76" s="704"/>
      <c r="B76" s="704"/>
      <c r="C76" s="708"/>
      <c r="D76" s="708"/>
      <c r="E76" s="708"/>
      <c r="F76" s="708"/>
      <c r="G76" s="708"/>
      <c r="H76" s="704"/>
      <c r="I76" s="704"/>
      <c r="J76" s="708"/>
      <c r="K76" s="708"/>
      <c r="L76" s="704"/>
      <c r="M76" s="704"/>
      <c r="N76" s="704"/>
      <c r="O76" s="704"/>
    </row>
    <row r="77" spans="1:15" s="143" customFormat="1">
      <c r="A77" s="704"/>
      <c r="B77" s="704"/>
      <c r="C77" s="708"/>
      <c r="D77" s="708"/>
      <c r="E77" s="708"/>
      <c r="F77" s="708"/>
      <c r="G77" s="708"/>
      <c r="H77" s="704"/>
      <c r="I77" s="704"/>
      <c r="J77" s="708"/>
      <c r="K77" s="708"/>
      <c r="L77" s="704"/>
      <c r="M77" s="704"/>
      <c r="N77" s="704"/>
      <c r="O77" s="704"/>
    </row>
    <row r="78" spans="1:15" s="143" customFormat="1">
      <c r="A78" s="704"/>
      <c r="B78" s="704"/>
      <c r="C78" s="708"/>
      <c r="D78" s="708"/>
      <c r="E78" s="708"/>
      <c r="F78" s="708"/>
      <c r="G78" s="708"/>
      <c r="H78" s="704"/>
      <c r="I78" s="704"/>
      <c r="J78" s="708"/>
      <c r="K78" s="708"/>
      <c r="L78" s="704"/>
      <c r="M78" s="704"/>
      <c r="N78" s="704"/>
      <c r="O78" s="704"/>
    </row>
    <row r="79" spans="1:15" s="143" customFormat="1">
      <c r="A79" s="704"/>
      <c r="B79" s="704"/>
      <c r="C79" s="708"/>
      <c r="D79" s="708"/>
      <c r="E79" s="708"/>
      <c r="F79" s="708"/>
      <c r="G79" s="708"/>
      <c r="H79" s="704"/>
      <c r="I79" s="704"/>
      <c r="J79" s="708"/>
      <c r="K79" s="708"/>
      <c r="L79" s="704"/>
      <c r="M79" s="704"/>
      <c r="N79" s="704"/>
      <c r="O79" s="704"/>
    </row>
    <row r="80" spans="1:15" s="143" customFormat="1">
      <c r="A80" s="704"/>
      <c r="B80" s="704"/>
      <c r="C80" s="708"/>
      <c r="D80" s="708"/>
      <c r="E80" s="708"/>
      <c r="F80" s="708"/>
      <c r="G80" s="708"/>
      <c r="H80" s="704"/>
      <c r="I80" s="704"/>
      <c r="J80" s="708"/>
      <c r="K80" s="708"/>
      <c r="L80" s="704"/>
      <c r="M80" s="704"/>
      <c r="N80" s="704"/>
      <c r="O80" s="704"/>
    </row>
    <row r="81" spans="1:15" s="143" customFormat="1">
      <c r="A81" s="704"/>
      <c r="B81" s="704"/>
      <c r="C81" s="708"/>
      <c r="D81" s="708"/>
      <c r="E81" s="708"/>
      <c r="F81" s="708"/>
      <c r="G81" s="708"/>
      <c r="H81" s="704"/>
      <c r="I81" s="704"/>
      <c r="J81" s="708"/>
      <c r="K81" s="708"/>
      <c r="L81" s="704"/>
      <c r="M81" s="704"/>
      <c r="N81" s="704"/>
      <c r="O81" s="704"/>
    </row>
    <row r="82" spans="1:15" s="143" customFormat="1">
      <c r="A82" s="704"/>
      <c r="B82" s="704"/>
      <c r="C82" s="708"/>
      <c r="D82" s="708"/>
      <c r="E82" s="708"/>
      <c r="F82" s="708"/>
      <c r="G82" s="708"/>
      <c r="H82" s="704"/>
      <c r="I82" s="704"/>
      <c r="J82" s="708"/>
      <c r="K82" s="708"/>
      <c r="L82" s="704"/>
      <c r="M82" s="704"/>
      <c r="N82" s="704"/>
      <c r="O82" s="704"/>
    </row>
    <row r="83" spans="1:15" s="143" customFormat="1">
      <c r="A83" s="704"/>
      <c r="B83" s="704"/>
      <c r="C83" s="708"/>
      <c r="D83" s="708"/>
      <c r="E83" s="708"/>
      <c r="F83" s="708"/>
      <c r="G83" s="708"/>
      <c r="H83" s="704"/>
      <c r="I83" s="704"/>
      <c r="J83" s="708"/>
      <c r="K83" s="708"/>
      <c r="L83" s="704"/>
      <c r="M83" s="704"/>
      <c r="N83" s="704"/>
      <c r="O83" s="704"/>
    </row>
    <row r="84" spans="1:15" s="143" customFormat="1">
      <c r="A84" s="704"/>
      <c r="B84" s="704"/>
      <c r="C84" s="708"/>
      <c r="D84" s="708"/>
      <c r="E84" s="708"/>
      <c r="F84" s="708"/>
      <c r="G84" s="708"/>
      <c r="H84" s="704"/>
      <c r="I84" s="704"/>
      <c r="J84" s="708"/>
      <c r="K84" s="708"/>
      <c r="L84" s="704"/>
      <c r="M84" s="704"/>
      <c r="N84" s="704"/>
      <c r="O84" s="704"/>
    </row>
    <row r="85" spans="1:15" s="143" customFormat="1">
      <c r="A85" s="704"/>
      <c r="B85" s="704"/>
      <c r="C85" s="708"/>
      <c r="D85" s="708"/>
      <c r="E85" s="708"/>
      <c r="F85" s="708"/>
      <c r="G85" s="708"/>
      <c r="H85" s="704"/>
      <c r="I85" s="704"/>
      <c r="J85" s="708"/>
      <c r="K85" s="708"/>
      <c r="L85" s="704"/>
      <c r="M85" s="704"/>
      <c r="N85" s="704"/>
      <c r="O85" s="704"/>
    </row>
    <row r="86" spans="1:15" s="143" customFormat="1">
      <c r="A86" s="704"/>
      <c r="B86" s="704"/>
      <c r="C86" s="708"/>
      <c r="D86" s="708"/>
      <c r="E86" s="708"/>
      <c r="F86" s="708"/>
      <c r="G86" s="708"/>
      <c r="H86" s="704"/>
      <c r="I86" s="704"/>
      <c r="J86" s="708"/>
      <c r="K86" s="708"/>
      <c r="L86" s="704"/>
      <c r="M86" s="704"/>
      <c r="N86" s="704"/>
      <c r="O86" s="704"/>
    </row>
    <row r="87" spans="1:15" s="143" customFormat="1">
      <c r="A87" s="704"/>
      <c r="B87" s="704"/>
      <c r="C87" s="708"/>
      <c r="D87" s="708"/>
      <c r="E87" s="708"/>
      <c r="F87" s="708"/>
      <c r="G87" s="708"/>
      <c r="H87" s="704"/>
      <c r="I87" s="704"/>
      <c r="J87" s="708"/>
      <c r="K87" s="708"/>
      <c r="L87" s="704"/>
      <c r="M87" s="704"/>
      <c r="N87" s="704"/>
      <c r="O87" s="704"/>
    </row>
    <row r="88" spans="1:15" s="143" customFormat="1">
      <c r="A88" s="704"/>
      <c r="B88" s="704"/>
      <c r="C88" s="708"/>
      <c r="D88" s="708"/>
      <c r="E88" s="708"/>
      <c r="F88" s="708"/>
      <c r="G88" s="708"/>
      <c r="H88" s="704"/>
      <c r="I88" s="704"/>
      <c r="J88" s="708"/>
      <c r="K88" s="708"/>
      <c r="L88" s="704"/>
      <c r="M88" s="704"/>
      <c r="N88" s="704"/>
      <c r="O88" s="704"/>
    </row>
    <row r="89" spans="1:15" s="143" customFormat="1">
      <c r="A89" s="704"/>
      <c r="B89" s="704"/>
      <c r="C89" s="708"/>
      <c r="D89" s="708"/>
      <c r="E89" s="708"/>
      <c r="F89" s="708"/>
      <c r="G89" s="708"/>
      <c r="H89" s="704"/>
      <c r="I89" s="704"/>
      <c r="J89" s="708"/>
      <c r="K89" s="708"/>
      <c r="L89" s="704"/>
      <c r="M89" s="704"/>
      <c r="N89" s="704"/>
      <c r="O89" s="704"/>
    </row>
    <row r="90" spans="1:15" s="143" customFormat="1">
      <c r="A90" s="704"/>
      <c r="B90" s="704"/>
      <c r="C90" s="708"/>
      <c r="D90" s="708"/>
      <c r="E90" s="708"/>
      <c r="F90" s="708"/>
      <c r="G90" s="708"/>
      <c r="H90" s="704"/>
      <c r="I90" s="704"/>
      <c r="J90" s="708"/>
      <c r="K90" s="708"/>
      <c r="L90" s="704"/>
      <c r="M90" s="704"/>
      <c r="N90" s="704"/>
      <c r="O90" s="704"/>
    </row>
    <row r="91" spans="1:15" s="143" customFormat="1">
      <c r="A91" s="704"/>
      <c r="B91" s="704"/>
      <c r="C91" s="708"/>
      <c r="D91" s="708"/>
      <c r="E91" s="708"/>
      <c r="F91" s="708"/>
      <c r="G91" s="708"/>
      <c r="H91" s="704"/>
      <c r="I91" s="704"/>
      <c r="J91" s="708"/>
      <c r="K91" s="708"/>
      <c r="L91" s="704"/>
      <c r="M91" s="704"/>
      <c r="N91" s="704"/>
      <c r="O91" s="704"/>
    </row>
    <row r="92" spans="1:15" s="143" customFormat="1">
      <c r="A92" s="704"/>
      <c r="B92" s="704"/>
      <c r="C92" s="708"/>
      <c r="D92" s="708"/>
      <c r="E92" s="708"/>
      <c r="F92" s="708"/>
      <c r="G92" s="708"/>
      <c r="H92" s="704"/>
      <c r="I92" s="704"/>
      <c r="J92" s="708"/>
      <c r="K92" s="708"/>
      <c r="L92" s="704"/>
      <c r="M92" s="704"/>
      <c r="N92" s="704"/>
      <c r="O92" s="704"/>
    </row>
    <row r="93" spans="1:15" s="143" customFormat="1">
      <c r="A93" s="704"/>
      <c r="B93" s="704"/>
      <c r="C93" s="708"/>
      <c r="D93" s="708"/>
      <c r="E93" s="708"/>
      <c r="F93" s="708"/>
      <c r="G93" s="708"/>
      <c r="H93" s="704"/>
      <c r="I93" s="704"/>
      <c r="J93" s="708"/>
      <c r="K93" s="708"/>
      <c r="L93" s="704"/>
      <c r="M93" s="704"/>
      <c r="N93" s="704"/>
      <c r="O93" s="704"/>
    </row>
    <row r="94" spans="1:15" s="143" customFormat="1">
      <c r="A94" s="704"/>
      <c r="B94" s="704"/>
      <c r="C94" s="708"/>
      <c r="D94" s="708"/>
      <c r="E94" s="708"/>
      <c r="F94" s="708"/>
      <c r="G94" s="708"/>
      <c r="H94" s="704"/>
      <c r="I94" s="704"/>
      <c r="J94" s="708"/>
      <c r="K94" s="708"/>
      <c r="L94" s="704"/>
      <c r="M94" s="704"/>
      <c r="N94" s="704"/>
      <c r="O94" s="704"/>
    </row>
    <row r="95" spans="1:15" s="143" customFormat="1">
      <c r="A95" s="704"/>
      <c r="B95" s="704"/>
      <c r="C95" s="708"/>
      <c r="D95" s="708"/>
      <c r="E95" s="708"/>
      <c r="F95" s="708"/>
      <c r="G95" s="708"/>
      <c r="H95" s="704"/>
      <c r="I95" s="704"/>
      <c r="J95" s="708"/>
      <c r="K95" s="708"/>
      <c r="L95" s="704"/>
      <c r="M95" s="704"/>
      <c r="N95" s="704"/>
      <c r="O95" s="704"/>
    </row>
  </sheetData>
  <printOptions horizontalCentered="1"/>
  <pageMargins left="0.75" right="0.5" top="0.5" bottom="0.5" header="0" footer="0.25"/>
  <pageSetup scale="60" firstPageNumber="42"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69140625" defaultRowHeight="12.5"/>
  <cols>
    <col min="1" max="1" width="56.07421875" style="146" customWidth="1"/>
    <col min="2" max="2" width="6.69140625" style="146" customWidth="1"/>
    <col min="3" max="3" width="9.69140625" style="146" customWidth="1"/>
    <col min="4" max="4" width="20.69140625" style="146" customWidth="1"/>
    <col min="5" max="5" width="1.69140625" style="146" customWidth="1"/>
    <col min="6" max="6" width="20.69140625" style="146" customWidth="1"/>
    <col min="7" max="7" width="1.69140625" style="146" customWidth="1"/>
    <col min="8" max="8" width="20.69140625" style="146" customWidth="1"/>
    <col min="9" max="9" width="1.69140625" style="146" customWidth="1"/>
    <col min="10" max="10" width="20.69140625" style="146" customWidth="1"/>
    <col min="11" max="11" width="1.69140625" style="146" customWidth="1"/>
    <col min="12" max="12" width="20.69140625" style="146" customWidth="1"/>
    <col min="13" max="13" width="2.4609375" style="146" customWidth="1"/>
    <col min="14" max="14" width="9.07421875" style="146" bestFit="1" customWidth="1"/>
    <col min="15" max="16384" width="8.69140625" style="146"/>
  </cols>
  <sheetData>
    <row r="1" spans="1:14" ht="15.5">
      <c r="A1" s="275" t="s">
        <v>97</v>
      </c>
    </row>
    <row r="2" spans="1:14" ht="18" customHeight="1"/>
    <row r="3" spans="1:14" ht="18">
      <c r="A3" s="147" t="s">
        <v>98</v>
      </c>
      <c r="B3" s="148"/>
      <c r="C3" s="148"/>
      <c r="D3" s="149"/>
      <c r="E3" s="149"/>
      <c r="F3" s="148"/>
      <c r="G3" s="148" t="s">
        <v>103</v>
      </c>
      <c r="H3" s="148"/>
      <c r="I3" s="148"/>
      <c r="J3" s="148"/>
      <c r="K3" s="148"/>
      <c r="L3" s="150" t="s">
        <v>783</v>
      </c>
      <c r="M3" s="149"/>
    </row>
    <row r="4" spans="1:14" ht="18">
      <c r="A4" s="147" t="s">
        <v>784</v>
      </c>
      <c r="B4" s="148"/>
      <c r="C4" s="148"/>
      <c r="D4" s="149"/>
      <c r="E4" s="149"/>
      <c r="F4" s="148"/>
      <c r="G4" s="148"/>
      <c r="H4" s="148"/>
      <c r="I4" s="148"/>
      <c r="J4" s="148"/>
      <c r="K4" s="148"/>
      <c r="L4" s="152"/>
      <c r="M4" s="149"/>
    </row>
    <row r="5" spans="1:14" ht="18">
      <c r="A5" s="153" t="s">
        <v>785</v>
      </c>
      <c r="B5" s="148"/>
      <c r="C5" s="148"/>
      <c r="D5" s="149"/>
      <c r="E5" s="149"/>
      <c r="F5" s="148"/>
      <c r="G5" s="148"/>
      <c r="H5" s="148"/>
      <c r="I5" s="148"/>
      <c r="J5" s="148"/>
      <c r="K5" s="148"/>
      <c r="L5" s="148"/>
      <c r="M5" s="149"/>
    </row>
    <row r="6" spans="1:14" ht="18">
      <c r="A6" s="153" t="s">
        <v>759</v>
      </c>
      <c r="B6" s="148"/>
      <c r="C6" s="148"/>
      <c r="D6" s="149"/>
      <c r="E6" s="149"/>
      <c r="F6" s="148"/>
      <c r="G6" s="148"/>
      <c r="H6" s="148"/>
      <c r="I6" s="148"/>
      <c r="J6" s="148"/>
      <c r="K6" s="148"/>
      <c r="L6" s="148"/>
      <c r="M6" s="149"/>
    </row>
    <row r="7" spans="1:14" ht="18">
      <c r="A7" s="153" t="str">
        <f>'Sch 2 '!A7</f>
        <v>FISCAL YEAR 2024-2025</v>
      </c>
      <c r="B7" s="148"/>
      <c r="C7" s="148"/>
      <c r="D7" s="149"/>
      <c r="E7" s="149"/>
      <c r="F7" s="148"/>
      <c r="G7" s="148"/>
      <c r="H7" s="148"/>
      <c r="I7" s="148"/>
      <c r="J7" s="148"/>
      <c r="K7" s="148"/>
      <c r="L7" s="148"/>
      <c r="M7" s="149"/>
    </row>
    <row r="8" spans="1:14" ht="18">
      <c r="A8" s="153" t="str">
        <f>'Sch 2 '!A8</f>
        <v>FOR THE MONTH OF FEBRUARY 2025</v>
      </c>
      <c r="B8" s="148"/>
      <c r="C8" s="148"/>
      <c r="D8" s="149"/>
      <c r="E8" s="149"/>
      <c r="F8" s="148"/>
      <c r="G8" s="148"/>
      <c r="H8" s="148"/>
      <c r="I8" s="148"/>
      <c r="J8" s="148"/>
      <c r="K8" s="148"/>
      <c r="L8" s="148"/>
      <c r="M8" s="149"/>
    </row>
    <row r="9" spans="1:14" ht="18">
      <c r="A9" s="351" t="s">
        <v>102</v>
      </c>
      <c r="B9" s="148"/>
      <c r="C9" s="148"/>
      <c r="D9" s="149"/>
      <c r="E9" s="149"/>
      <c r="F9" s="148"/>
      <c r="G9" s="148"/>
      <c r="H9" s="148"/>
      <c r="I9" s="148"/>
      <c r="J9" s="148"/>
      <c r="K9" s="148"/>
      <c r="L9" s="148"/>
      <c r="M9" s="149"/>
    </row>
    <row r="10" spans="1:14" ht="18">
      <c r="A10" s="147"/>
      <c r="B10" s="147"/>
      <c r="C10" s="147"/>
      <c r="D10" s="163"/>
      <c r="E10" s="147"/>
      <c r="F10" s="147"/>
      <c r="G10" s="147"/>
      <c r="H10" s="147"/>
      <c r="I10" s="147"/>
      <c r="J10" s="163" t="s">
        <v>760</v>
      </c>
      <c r="K10" s="147"/>
      <c r="L10" s="163"/>
      <c r="M10" s="149"/>
    </row>
    <row r="11" spans="1:14" ht="18">
      <c r="A11" s="147"/>
      <c r="B11" s="147"/>
      <c r="C11" s="147"/>
      <c r="D11" s="163" t="s">
        <v>617</v>
      </c>
      <c r="E11" s="147"/>
      <c r="F11" s="147"/>
      <c r="G11" s="147"/>
      <c r="H11" s="147"/>
      <c r="I11" s="147"/>
      <c r="J11" s="163" t="s">
        <v>761</v>
      </c>
      <c r="K11" s="147"/>
      <c r="L11" s="163" t="s">
        <v>617</v>
      </c>
      <c r="M11" s="149"/>
    </row>
    <row r="12" spans="1:14" ht="18">
      <c r="A12" s="162" t="s">
        <v>762</v>
      </c>
      <c r="B12" s="147"/>
      <c r="C12" s="147"/>
      <c r="D12" s="381" t="str">
        <f>'Sch 1 '!C11</f>
        <v>FEBRUARY 1, 2025</v>
      </c>
      <c r="E12" s="147"/>
      <c r="F12" s="163" t="s">
        <v>619</v>
      </c>
      <c r="G12" s="147"/>
      <c r="H12" s="163" t="s">
        <v>620</v>
      </c>
      <c r="I12" s="147"/>
      <c r="J12" s="163" t="s">
        <v>621</v>
      </c>
      <c r="K12" s="147"/>
      <c r="L12" s="381" t="str">
        <f>'Sch 1 '!K11</f>
        <v>FEBRUARY 28, 2025</v>
      </c>
      <c r="M12" s="149"/>
    </row>
    <row r="13" spans="1:14" ht="9.75" customHeight="1">
      <c r="A13" s="147" t="s">
        <v>103</v>
      </c>
      <c r="B13" s="147"/>
      <c r="C13" s="147"/>
      <c r="D13" s="1110" t="s">
        <v>103</v>
      </c>
      <c r="E13" s="147"/>
      <c r="F13" s="1110" t="s">
        <v>103</v>
      </c>
      <c r="G13" s="147"/>
      <c r="H13" s="1110" t="s">
        <v>103</v>
      </c>
      <c r="I13" s="147"/>
      <c r="J13" s="1110" t="s">
        <v>103</v>
      </c>
      <c r="K13" s="147" t="s">
        <v>103</v>
      </c>
      <c r="L13" s="1110" t="s">
        <v>103</v>
      </c>
      <c r="M13" s="149"/>
    </row>
    <row r="14" spans="1:14" ht="18" customHeight="1">
      <c r="A14" s="154" t="s">
        <v>226</v>
      </c>
      <c r="B14" s="151"/>
      <c r="C14" s="151"/>
      <c r="D14" s="302"/>
      <c r="E14" s="302"/>
      <c r="F14" s="165"/>
      <c r="G14" s="143"/>
      <c r="H14" s="165"/>
      <c r="I14" s="302"/>
      <c r="J14" s="302"/>
      <c r="K14" s="302"/>
      <c r="L14" s="302"/>
      <c r="M14" s="155"/>
    </row>
    <row r="15" spans="1:14" ht="7.5" customHeight="1">
      <c r="A15" s="147"/>
      <c r="B15" s="151"/>
      <c r="C15" s="151"/>
      <c r="D15" s="302"/>
      <c r="E15" s="302"/>
      <c r="F15" s="302"/>
      <c r="G15" s="302"/>
      <c r="H15" s="302"/>
      <c r="I15" s="302"/>
      <c r="J15" s="302"/>
      <c r="K15" s="302"/>
      <c r="L15" s="302"/>
      <c r="M15" s="155"/>
    </row>
    <row r="16" spans="1:14" ht="15.75" customHeight="1">
      <c r="A16" s="151" t="s">
        <v>786</v>
      </c>
      <c r="B16" s="151"/>
      <c r="C16" s="151"/>
      <c r="D16" s="1778">
        <v>-0.503</v>
      </c>
      <c r="E16" s="1779"/>
      <c r="F16" s="1778">
        <v>13.414999999999999</v>
      </c>
      <c r="G16" s="1779"/>
      <c r="H16" s="1778">
        <v>13.114000000000001</v>
      </c>
      <c r="I16" s="1779"/>
      <c r="J16" s="1778">
        <v>0</v>
      </c>
      <c r="K16" s="601"/>
      <c r="L16" s="602">
        <f>ROUND(SUM(D16)+SUM(F16)-SUM(H16)+SUM(J16),3)</f>
        <v>-0.20200000000000001</v>
      </c>
      <c r="M16" s="155"/>
      <c r="N16" s="1789"/>
    </row>
    <row r="17" spans="1:14" ht="15.75" customHeight="1">
      <c r="A17" s="151" t="s">
        <v>787</v>
      </c>
      <c r="B17" s="151"/>
      <c r="C17" s="151"/>
      <c r="D17" s="2058">
        <v>1630.3430000000001</v>
      </c>
      <c r="E17" s="1780"/>
      <c r="F17" s="1781">
        <v>6.1909999999999998</v>
      </c>
      <c r="G17" s="1780"/>
      <c r="H17" s="1781">
        <v>0</v>
      </c>
      <c r="I17" s="1780"/>
      <c r="J17" s="1781">
        <v>0</v>
      </c>
      <c r="K17" s="601"/>
      <c r="L17" s="1782">
        <f>ROUND(SUM(D17)+SUM(F17)-SUM(H17)+SUM(J17),3)</f>
        <v>1636.5340000000001</v>
      </c>
      <c r="M17" s="155"/>
      <c r="N17" s="1789"/>
    </row>
    <row r="18" spans="1:14" ht="20" customHeight="1">
      <c r="A18" s="147" t="s">
        <v>788</v>
      </c>
      <c r="B18" s="151"/>
      <c r="C18" s="151"/>
      <c r="D18" s="303">
        <f>ROUND(SUM(D16:D17),3)</f>
        <v>1629.84</v>
      </c>
      <c r="E18" s="304"/>
      <c r="F18" s="303">
        <f>ROUND(SUM(F16:F17),3)</f>
        <v>19.606000000000002</v>
      </c>
      <c r="G18" s="304"/>
      <c r="H18" s="303">
        <f>ROUND(SUM(H16:H17),3)</f>
        <v>13.114000000000001</v>
      </c>
      <c r="I18" s="304"/>
      <c r="J18" s="1783">
        <f>ROUND(SUM(J16:J17),3)</f>
        <v>0</v>
      </c>
      <c r="K18" s="304"/>
      <c r="L18" s="303">
        <f>ROUND(SUM(L16:L17),3)</f>
        <v>1636.3320000000001</v>
      </c>
      <c r="M18" s="156"/>
      <c r="N18" s="1789"/>
    </row>
    <row r="19" spans="1:14" ht="12" customHeight="1">
      <c r="A19" s="147"/>
      <c r="B19" s="151"/>
      <c r="C19" s="151"/>
      <c r="D19" s="1108"/>
      <c r="E19" s="145"/>
      <c r="F19" s="1108"/>
      <c r="G19" s="145"/>
      <c r="H19" s="1108"/>
      <c r="I19" s="145"/>
      <c r="J19" s="145"/>
      <c r="K19" s="145"/>
      <c r="L19" s="1108"/>
      <c r="M19" s="155"/>
      <c r="N19" s="1789"/>
    </row>
    <row r="20" spans="1:14" ht="18" customHeight="1">
      <c r="A20" s="154" t="s">
        <v>611</v>
      </c>
      <c r="B20" s="147"/>
      <c r="C20" s="147"/>
      <c r="D20" s="304"/>
      <c r="E20" s="304"/>
      <c r="F20" s="304"/>
      <c r="G20" s="304"/>
      <c r="H20" s="304"/>
      <c r="I20" s="304"/>
      <c r="J20" s="304"/>
      <c r="K20" s="304"/>
      <c r="L20" s="304"/>
      <c r="M20" s="149"/>
      <c r="N20" s="1789"/>
    </row>
    <row r="21" spans="1:14" ht="7.5" customHeight="1">
      <c r="A21" s="147"/>
      <c r="B21" s="147"/>
      <c r="C21" s="147"/>
      <c r="D21" s="304"/>
      <c r="E21" s="304"/>
      <c r="F21" s="304"/>
      <c r="G21" s="304"/>
      <c r="H21" s="304"/>
      <c r="I21" s="304"/>
      <c r="J21" s="304"/>
      <c r="K21" s="304"/>
      <c r="L21" s="145"/>
      <c r="M21" s="149"/>
      <c r="N21" s="1789"/>
    </row>
    <row r="22" spans="1:14" ht="17.899999999999999" customHeight="1">
      <c r="A22" s="305" t="s">
        <v>789</v>
      </c>
      <c r="B22" s="147"/>
      <c r="C22" s="147"/>
      <c r="D22" s="603">
        <v>51.542000000000002</v>
      </c>
      <c r="E22" s="1780"/>
      <c r="F22" s="603">
        <v>0.19400000000000001</v>
      </c>
      <c r="G22" s="1780"/>
      <c r="H22" s="603">
        <v>0.36299999999999999</v>
      </c>
      <c r="I22" s="1780"/>
      <c r="J22" s="603">
        <v>0</v>
      </c>
      <c r="K22" s="601"/>
      <c r="L22" s="604">
        <f>ROUND(SUM(D22)+SUM(F22)-SUM(H22)+SUM(J22),3)</f>
        <v>51.372999999999998</v>
      </c>
      <c r="M22" s="149"/>
      <c r="N22" s="1789"/>
    </row>
    <row r="23" spans="1:14" ht="16.5" customHeight="1">
      <c r="A23" s="305" t="s">
        <v>790</v>
      </c>
      <c r="B23" s="147"/>
      <c r="C23" s="164"/>
      <c r="D23" s="603">
        <v>3.835</v>
      </c>
      <c r="E23" s="1780"/>
      <c r="F23" s="603">
        <v>6.9000000000000006E-2</v>
      </c>
      <c r="G23" s="1780"/>
      <c r="H23" s="603">
        <v>-2E-3</v>
      </c>
      <c r="I23" s="1780"/>
      <c r="J23" s="603">
        <v>0</v>
      </c>
      <c r="K23" s="601"/>
      <c r="L23" s="604">
        <f>ROUND(SUM(D23)+SUM(F23)-SUM(H23)+SUM(J23),3)</f>
        <v>3.9060000000000001</v>
      </c>
      <c r="M23" s="149"/>
      <c r="N23" s="1789"/>
    </row>
    <row r="24" spans="1:14" ht="15.75" customHeight="1">
      <c r="A24" s="305" t="s">
        <v>791</v>
      </c>
      <c r="B24" s="147"/>
      <c r="C24" s="147"/>
      <c r="D24" s="1781">
        <v>13.255000000000001</v>
      </c>
      <c r="E24" s="1780"/>
      <c r="F24" s="1781">
        <v>0.48599999999999999</v>
      </c>
      <c r="G24" s="1780"/>
      <c r="H24" s="1781">
        <v>1.3000000000000001E-2</v>
      </c>
      <c r="I24" s="1780"/>
      <c r="J24" s="1781">
        <v>0</v>
      </c>
      <c r="K24" s="601"/>
      <c r="L24" s="1782">
        <f>ROUND(SUM(D24)+SUM(F24)-SUM(H24)+SUM(J24),3)</f>
        <v>13.728</v>
      </c>
      <c r="M24" s="149"/>
      <c r="N24" s="1789"/>
    </row>
    <row r="25" spans="1:14" ht="20" customHeight="1">
      <c r="A25" s="153" t="s">
        <v>792</v>
      </c>
      <c r="B25" s="147"/>
      <c r="C25" s="164"/>
      <c r="D25" s="1784">
        <f>ROUND(SUM(D22:D24),3)</f>
        <v>68.632000000000005</v>
      </c>
      <c r="E25" s="304"/>
      <c r="F25" s="1784">
        <f>ROUND(SUM(F22:F24),3)</f>
        <v>0.749</v>
      </c>
      <c r="G25" s="304"/>
      <c r="H25" s="1784">
        <f>ROUND(SUM(H22:H24),3)</f>
        <v>0.374</v>
      </c>
      <c r="I25" s="304"/>
      <c r="J25" s="1784">
        <f>ROUND(SUM(J22:J24),3)</f>
        <v>0</v>
      </c>
      <c r="K25" s="304"/>
      <c r="L25" s="1784">
        <f>ROUND(SUM(L22:L24),3)</f>
        <v>69.007000000000005</v>
      </c>
      <c r="M25" s="157"/>
      <c r="N25" s="1789"/>
    </row>
    <row r="26" spans="1:14" ht="12" customHeight="1">
      <c r="A26" s="147"/>
      <c r="B26" s="147"/>
      <c r="C26" s="147"/>
      <c r="D26" s="304"/>
      <c r="E26" s="304"/>
      <c r="F26" s="304"/>
      <c r="G26" s="304"/>
      <c r="H26" s="304"/>
      <c r="I26" s="304"/>
      <c r="J26" s="304"/>
      <c r="K26" s="304"/>
      <c r="L26" s="304"/>
      <c r="M26" s="149"/>
      <c r="N26" s="1789"/>
    </row>
    <row r="27" spans="1:14" ht="18">
      <c r="A27" s="154" t="s">
        <v>793</v>
      </c>
      <c r="B27" s="147"/>
      <c r="C27" s="147"/>
      <c r="D27" s="304"/>
      <c r="E27" s="304"/>
      <c r="F27" s="304"/>
      <c r="G27" s="304"/>
      <c r="H27" s="304"/>
      <c r="I27" s="304"/>
      <c r="J27" s="304"/>
      <c r="K27" s="304"/>
      <c r="L27" s="304"/>
      <c r="M27" s="149"/>
      <c r="N27" s="1789"/>
    </row>
    <row r="28" spans="1:14" ht="7.5" customHeight="1">
      <c r="A28" s="151" t="s">
        <v>103</v>
      </c>
      <c r="B28" s="151"/>
      <c r="C28" s="151"/>
      <c r="D28" s="145"/>
      <c r="E28" s="145"/>
      <c r="F28" s="145"/>
      <c r="G28" s="145"/>
      <c r="H28" s="145"/>
      <c r="I28" s="145"/>
      <c r="J28" s="145"/>
      <c r="K28" s="145"/>
      <c r="L28" s="145"/>
      <c r="M28" s="149"/>
      <c r="N28" s="1789"/>
    </row>
    <row r="29" spans="1:14" ht="16.5" customHeight="1">
      <c r="A29" s="151" t="s">
        <v>794</v>
      </c>
      <c r="B29" s="151"/>
      <c r="C29" s="151" t="s">
        <v>103</v>
      </c>
      <c r="D29" s="603">
        <v>6.5570000000000004</v>
      </c>
      <c r="E29" s="1780"/>
      <c r="F29" s="603">
        <v>0.44600000000000001</v>
      </c>
      <c r="G29" s="1780"/>
      <c r="H29" s="603">
        <v>0</v>
      </c>
      <c r="I29" s="1780"/>
      <c r="J29" s="603">
        <v>0</v>
      </c>
      <c r="K29" s="601"/>
      <c r="L29" s="604">
        <f t="shared" ref="L29:L44" si="0">ROUND(SUM(D29)+SUM(F29)-SUM(H29)+SUM(J29),3)</f>
        <v>7.0030000000000001</v>
      </c>
      <c r="M29" s="155"/>
      <c r="N29" s="1789"/>
    </row>
    <row r="30" spans="1:14" ht="15.75" customHeight="1">
      <c r="A30" s="305" t="s">
        <v>795</v>
      </c>
      <c r="B30" s="151"/>
      <c r="C30" s="151"/>
      <c r="D30" s="603">
        <v>0.69599999999999995</v>
      </c>
      <c r="E30" s="1780"/>
      <c r="F30" s="603">
        <v>0.03</v>
      </c>
      <c r="G30" s="1780"/>
      <c r="H30" s="603">
        <v>1E-3</v>
      </c>
      <c r="I30" s="1780"/>
      <c r="J30" s="603">
        <v>0</v>
      </c>
      <c r="K30" s="601"/>
      <c r="L30" s="604">
        <f t="shared" si="0"/>
        <v>0.72499999999999998</v>
      </c>
      <c r="M30" s="155"/>
      <c r="N30" s="1789"/>
    </row>
    <row r="31" spans="1:14" ht="16.5" customHeight="1">
      <c r="A31" s="151" t="s">
        <v>796</v>
      </c>
      <c r="B31" s="151"/>
      <c r="C31" s="151"/>
      <c r="D31" s="603">
        <v>535.72400000000005</v>
      </c>
      <c r="E31" s="1780"/>
      <c r="F31" s="603">
        <v>1121.223</v>
      </c>
      <c r="G31" s="1780"/>
      <c r="H31" s="603">
        <v>1250.7</v>
      </c>
      <c r="I31" s="1780"/>
      <c r="J31" s="603">
        <v>0</v>
      </c>
      <c r="K31" s="601"/>
      <c r="L31" s="604">
        <f t="shared" si="0"/>
        <v>406.24700000000001</v>
      </c>
      <c r="M31" s="155"/>
      <c r="N31" s="1789"/>
    </row>
    <row r="32" spans="1:14" ht="16.5" customHeight="1">
      <c r="A32" s="151" t="s">
        <v>797</v>
      </c>
      <c r="B32" s="151"/>
      <c r="C32" s="151" t="s">
        <v>103</v>
      </c>
      <c r="D32" s="603">
        <v>15.028</v>
      </c>
      <c r="E32" s="1780"/>
      <c r="F32" s="603">
        <v>119.351</v>
      </c>
      <c r="G32" s="1780"/>
      <c r="H32" s="603">
        <v>119.31399999999999</v>
      </c>
      <c r="I32" s="1780"/>
      <c r="J32" s="603">
        <v>0</v>
      </c>
      <c r="K32" s="601"/>
      <c r="L32" s="604">
        <f>ROUND(SUM(D32)+SUM(F32)-SUM(H32)+SUM(J32),3)</f>
        <v>15.065</v>
      </c>
      <c r="M32" s="155"/>
      <c r="N32" s="1789"/>
    </row>
    <row r="33" spans="1:14" ht="16.5" customHeight="1">
      <c r="A33" s="151" t="s">
        <v>798</v>
      </c>
      <c r="B33" s="151"/>
      <c r="C33" s="151"/>
      <c r="D33" s="603">
        <v>26.067</v>
      </c>
      <c r="E33" s="1780"/>
      <c r="F33" s="603">
        <v>432.85</v>
      </c>
      <c r="G33" s="1780"/>
      <c r="H33" s="603">
        <v>431.74200000000002</v>
      </c>
      <c r="I33" s="1780"/>
      <c r="J33" s="603">
        <v>0</v>
      </c>
      <c r="K33" s="601"/>
      <c r="L33" s="604">
        <f t="shared" si="0"/>
        <v>27.175000000000001</v>
      </c>
      <c r="M33" s="155"/>
      <c r="N33" s="1789"/>
    </row>
    <row r="34" spans="1:14" ht="16.5" customHeight="1">
      <c r="A34" s="151" t="s">
        <v>799</v>
      </c>
      <c r="B34" s="151"/>
      <c r="C34" s="151" t="s">
        <v>103</v>
      </c>
      <c r="D34" s="603">
        <v>37.024000000000001</v>
      </c>
      <c r="E34" s="1780"/>
      <c r="F34" s="603">
        <v>5.9259999999999993</v>
      </c>
      <c r="G34" s="1780"/>
      <c r="H34" s="603">
        <v>5.2279999999999998</v>
      </c>
      <c r="I34" s="1780"/>
      <c r="J34" s="603">
        <v>0</v>
      </c>
      <c r="K34" s="601"/>
      <c r="L34" s="604">
        <f t="shared" si="0"/>
        <v>37.722000000000001</v>
      </c>
      <c r="M34" s="155"/>
      <c r="N34" s="1789"/>
    </row>
    <row r="35" spans="1:14" ht="15.75" customHeight="1">
      <c r="A35" s="151" t="s">
        <v>800</v>
      </c>
      <c r="B35" s="151"/>
      <c r="C35" s="151"/>
      <c r="D35" s="603">
        <v>1.7150000000000001</v>
      </c>
      <c r="E35" s="1780"/>
      <c r="F35" s="603">
        <v>0.85599999999999998</v>
      </c>
      <c r="G35" s="1780"/>
      <c r="H35" s="603">
        <v>0.70599999999999996</v>
      </c>
      <c r="I35" s="1780"/>
      <c r="J35" s="603">
        <v>0</v>
      </c>
      <c r="K35" s="601"/>
      <c r="L35" s="604">
        <f t="shared" si="0"/>
        <v>1.865</v>
      </c>
      <c r="M35" s="155"/>
      <c r="N35" s="1789"/>
    </row>
    <row r="36" spans="1:14" ht="15.75" customHeight="1">
      <c r="A36" s="151" t="s">
        <v>801</v>
      </c>
      <c r="B36" s="151"/>
      <c r="C36" s="151"/>
      <c r="D36" s="603">
        <v>699.75699999999995</v>
      </c>
      <c r="E36" s="1780"/>
      <c r="F36" s="603">
        <v>251.392</v>
      </c>
      <c r="G36" s="1780"/>
      <c r="H36" s="603">
        <v>62.99</v>
      </c>
      <c r="I36" s="1780"/>
      <c r="J36" s="603">
        <v>0</v>
      </c>
      <c r="K36" s="601"/>
      <c r="L36" s="604">
        <f t="shared" si="0"/>
        <v>888.15899999999999</v>
      </c>
      <c r="M36" s="159"/>
      <c r="N36" s="1789"/>
    </row>
    <row r="37" spans="1:14" ht="16.5" customHeight="1">
      <c r="A37" s="151" t="s">
        <v>802</v>
      </c>
      <c r="B37" s="151"/>
      <c r="C37" s="151"/>
      <c r="D37" s="603">
        <v>2.1000000000000001E-2</v>
      </c>
      <c r="E37" s="1780"/>
      <c r="F37" s="603">
        <v>0</v>
      </c>
      <c r="G37" s="1780"/>
      <c r="H37" s="603">
        <v>0</v>
      </c>
      <c r="I37" s="1780"/>
      <c r="J37" s="603">
        <v>0</v>
      </c>
      <c r="K37" s="601"/>
      <c r="L37" s="604">
        <f t="shared" si="0"/>
        <v>2.1000000000000001E-2</v>
      </c>
      <c r="M37" s="155"/>
      <c r="N37" s="1789"/>
    </row>
    <row r="38" spans="1:14" ht="16.5" customHeight="1">
      <c r="A38" s="151" t="s">
        <v>803</v>
      </c>
      <c r="B38" s="151"/>
      <c r="C38" s="151"/>
      <c r="D38" s="603">
        <v>1098.1469999999999</v>
      </c>
      <c r="E38" s="1780"/>
      <c r="F38" s="603">
        <v>319.904</v>
      </c>
      <c r="G38" s="1780"/>
      <c r="H38" s="603">
        <v>345.87599999999998</v>
      </c>
      <c r="I38" s="1780"/>
      <c r="J38" s="603">
        <v>0</v>
      </c>
      <c r="K38" s="601"/>
      <c r="L38" s="604">
        <f t="shared" si="0"/>
        <v>1072.175</v>
      </c>
      <c r="M38" s="155"/>
      <c r="N38" s="1789"/>
    </row>
    <row r="39" spans="1:14" ht="16.5" customHeight="1">
      <c r="A39" s="151" t="s">
        <v>804</v>
      </c>
      <c r="B39" s="151"/>
      <c r="C39" s="151"/>
      <c r="D39" s="603">
        <v>33.936</v>
      </c>
      <c r="E39" s="1780"/>
      <c r="F39" s="603">
        <v>2.3410000000000002</v>
      </c>
      <c r="G39" s="1780"/>
      <c r="H39" s="603">
        <v>2.3420000000000001</v>
      </c>
      <c r="I39" s="1780"/>
      <c r="J39" s="603">
        <v>0</v>
      </c>
      <c r="K39" s="601"/>
      <c r="L39" s="604">
        <f t="shared" si="0"/>
        <v>33.935000000000002</v>
      </c>
      <c r="M39" s="155"/>
      <c r="N39" s="1789"/>
    </row>
    <row r="40" spans="1:14" ht="16.5" customHeight="1">
      <c r="A40" s="151" t="s">
        <v>805</v>
      </c>
      <c r="B40" s="151"/>
      <c r="C40" s="151"/>
      <c r="D40" s="603">
        <v>253.51300000000001</v>
      </c>
      <c r="E40" s="1780"/>
      <c r="F40" s="603">
        <v>10034.107</v>
      </c>
      <c r="G40" s="1780"/>
      <c r="H40" s="603">
        <v>9980.6119999999992</v>
      </c>
      <c r="I40" s="1780"/>
      <c r="J40" s="603">
        <v>0</v>
      </c>
      <c r="K40" s="601"/>
      <c r="L40" s="604">
        <f t="shared" si="0"/>
        <v>307.00799999999998</v>
      </c>
      <c r="M40" s="155"/>
      <c r="N40" s="1789"/>
    </row>
    <row r="41" spans="1:14" ht="15.75" customHeight="1">
      <c r="A41" s="151" t="s">
        <v>806</v>
      </c>
      <c r="B41" s="151"/>
      <c r="C41" s="151"/>
      <c r="D41" s="603">
        <v>0</v>
      </c>
      <c r="E41" s="1780"/>
      <c r="F41" s="603">
        <v>0</v>
      </c>
      <c r="G41" s="1780"/>
      <c r="H41" s="603">
        <v>0</v>
      </c>
      <c r="I41" s="1780"/>
      <c r="J41" s="603">
        <v>0</v>
      </c>
      <c r="K41" s="601"/>
      <c r="L41" s="604">
        <f t="shared" si="0"/>
        <v>0</v>
      </c>
      <c r="M41" s="155"/>
      <c r="N41" s="1789"/>
    </row>
    <row r="42" spans="1:14" ht="15.75" customHeight="1">
      <c r="A42" s="151" t="s">
        <v>807</v>
      </c>
      <c r="B42" s="151"/>
      <c r="C42" s="151"/>
      <c r="D42" s="603">
        <v>468.58300000000003</v>
      </c>
      <c r="E42" s="1780"/>
      <c r="F42" s="603">
        <v>-319.28500000000003</v>
      </c>
      <c r="G42" s="1780"/>
      <c r="H42" s="603">
        <v>0</v>
      </c>
      <c r="I42" s="1780"/>
      <c r="J42" s="603">
        <v>0</v>
      </c>
      <c r="K42" s="601"/>
      <c r="L42" s="604">
        <f t="shared" si="0"/>
        <v>149.298</v>
      </c>
      <c r="M42" s="155"/>
      <c r="N42" s="1789"/>
    </row>
    <row r="43" spans="1:14" ht="15.75" customHeight="1">
      <c r="A43" s="151" t="s">
        <v>808</v>
      </c>
      <c r="B43" s="151"/>
      <c r="C43" s="151"/>
      <c r="D43" s="603">
        <v>-18.827999999999999</v>
      </c>
      <c r="E43" s="1780"/>
      <c r="F43" s="603">
        <v>99.415000000000006</v>
      </c>
      <c r="G43" s="1780"/>
      <c r="H43" s="603">
        <v>91.281000000000006</v>
      </c>
      <c r="I43" s="1780"/>
      <c r="J43" s="603">
        <v>0</v>
      </c>
      <c r="K43" s="601"/>
      <c r="L43" s="604">
        <f t="shared" si="0"/>
        <v>-10.694000000000001</v>
      </c>
      <c r="M43" s="155"/>
      <c r="N43" s="1789"/>
    </row>
    <row r="44" spans="1:14" ht="18" customHeight="1">
      <c r="A44" s="151" t="s">
        <v>809</v>
      </c>
      <c r="B44" s="151"/>
      <c r="C44" s="151"/>
      <c r="D44" s="603">
        <v>0</v>
      </c>
      <c r="E44" s="1780"/>
      <c r="F44" s="603">
        <v>0</v>
      </c>
      <c r="G44" s="1780"/>
      <c r="H44" s="603">
        <v>0</v>
      </c>
      <c r="I44" s="1780"/>
      <c r="J44" s="603">
        <v>0</v>
      </c>
      <c r="K44" s="601"/>
      <c r="L44" s="604">
        <f t="shared" si="0"/>
        <v>0</v>
      </c>
      <c r="M44" s="155"/>
      <c r="N44" s="1789"/>
    </row>
    <row r="45" spans="1:14" ht="20" customHeight="1">
      <c r="A45" s="147" t="s">
        <v>810</v>
      </c>
      <c r="B45" s="151"/>
      <c r="C45" s="151"/>
      <c r="D45" s="1785">
        <f>ROUND(SUM(D29:D44),3)</f>
        <v>3157.94</v>
      </c>
      <c r="E45" s="303"/>
      <c r="F45" s="1785">
        <f>ROUND(SUM(F29:F44),3)</f>
        <v>12068.556</v>
      </c>
      <c r="G45" s="303"/>
      <c r="H45" s="1785">
        <f>ROUND(SUM(H29:H44),3)</f>
        <v>12290.791999999999</v>
      </c>
      <c r="I45" s="303"/>
      <c r="J45" s="1785">
        <f>ROUND(SUM(J29:J44),3)</f>
        <v>0</v>
      </c>
      <c r="K45" s="303"/>
      <c r="L45" s="1785">
        <f>ROUND(SUM(L29:L44),3)</f>
        <v>2935.7040000000002</v>
      </c>
      <c r="M45" s="156"/>
      <c r="N45" s="1789"/>
    </row>
    <row r="46" spans="1:14" ht="12" customHeight="1">
      <c r="A46" s="147"/>
      <c r="B46" s="151"/>
      <c r="C46" s="151"/>
      <c r="D46" s="1108" t="s">
        <v>103</v>
      </c>
      <c r="E46" s="145"/>
      <c r="F46" s="1108" t="s">
        <v>103</v>
      </c>
      <c r="G46" s="145"/>
      <c r="H46" s="1108" t="s">
        <v>103</v>
      </c>
      <c r="I46" s="145"/>
      <c r="J46" s="145" t="s">
        <v>103</v>
      </c>
      <c r="K46" s="145"/>
      <c r="L46" s="1108" t="s">
        <v>103</v>
      </c>
      <c r="M46" s="155"/>
      <c r="N46" s="1789"/>
    </row>
    <row r="47" spans="1:14" ht="12" customHeight="1">
      <c r="A47" s="147"/>
      <c r="B47" s="151"/>
      <c r="C47" s="151"/>
      <c r="D47" s="306"/>
      <c r="E47" s="306"/>
      <c r="F47" s="306"/>
      <c r="G47" s="306"/>
      <c r="H47" s="306"/>
      <c r="I47" s="306"/>
      <c r="J47" s="306"/>
      <c r="K47" s="306"/>
      <c r="L47" s="306"/>
      <c r="M47" s="155"/>
      <c r="N47" s="1789"/>
    </row>
    <row r="48" spans="1:14" ht="18.5" thickBot="1">
      <c r="A48" s="147" t="s">
        <v>811</v>
      </c>
      <c r="B48" s="151"/>
      <c r="C48" s="164"/>
      <c r="D48" s="1786">
        <f>ROUND(D18+D25+D45,3)</f>
        <v>4856.4120000000003</v>
      </c>
      <c r="E48" s="307"/>
      <c r="F48" s="1786">
        <f>ROUND(F18+F25+F45,3)</f>
        <v>12088.911</v>
      </c>
      <c r="G48" s="307"/>
      <c r="H48" s="1786">
        <f>ROUND(H18+H25+H45,3)</f>
        <v>12304.28</v>
      </c>
      <c r="I48" s="1787"/>
      <c r="J48" s="1786">
        <f>ROUND(J18+J25+J45,3)</f>
        <v>0</v>
      </c>
      <c r="K48" s="307"/>
      <c r="L48" s="1786">
        <f>ROUND(L18+L25+L45,3)</f>
        <v>4641.0429999999997</v>
      </c>
      <c r="M48" s="156"/>
      <c r="N48" s="1789"/>
    </row>
    <row r="49" spans="1:13" ht="12" customHeight="1" thickTop="1">
      <c r="A49" s="151"/>
      <c r="B49" s="151"/>
      <c r="C49" s="151"/>
      <c r="D49" s="1788" t="s">
        <v>103</v>
      </c>
      <c r="E49" s="302"/>
      <c r="F49" s="1788" t="s">
        <v>103</v>
      </c>
      <c r="G49" s="302"/>
      <c r="H49" s="1788" t="s">
        <v>103</v>
      </c>
      <c r="I49" s="302"/>
      <c r="J49" s="302" t="s">
        <v>103</v>
      </c>
      <c r="K49" s="302"/>
      <c r="L49" s="1788" t="s">
        <v>103</v>
      </c>
      <c r="M49" s="155"/>
    </row>
    <row r="50" spans="1:13" ht="15.75" customHeight="1">
      <c r="A50" s="308"/>
      <c r="B50" s="151"/>
      <c r="C50" s="151"/>
      <c r="D50" s="151"/>
      <c r="E50" s="151"/>
      <c r="F50" s="151"/>
      <c r="G50" s="151"/>
      <c r="H50" s="151"/>
      <c r="I50" s="151"/>
      <c r="J50" s="151" t="s">
        <v>103</v>
      </c>
      <c r="K50" s="151"/>
      <c r="L50" s="151"/>
      <c r="M50" s="151"/>
    </row>
    <row r="51" spans="1:13" ht="18">
      <c r="A51" s="151"/>
      <c r="B51" s="151"/>
      <c r="C51" s="151"/>
      <c r="D51" s="158"/>
      <c r="E51" s="151"/>
      <c r="F51" s="603" t="s">
        <v>103</v>
      </c>
      <c r="G51" s="151"/>
      <c r="H51" s="151"/>
      <c r="I51" s="151"/>
      <c r="J51" s="151" t="s">
        <v>103</v>
      </c>
      <c r="K51" s="151"/>
      <c r="L51" s="160"/>
      <c r="M51" s="151"/>
    </row>
    <row r="52" spans="1:13" ht="18">
      <c r="A52" s="158"/>
      <c r="B52" s="151"/>
      <c r="C52" s="151"/>
      <c r="D52" s="151"/>
      <c r="E52" s="151"/>
      <c r="F52" s="151"/>
      <c r="G52" s="151"/>
      <c r="H52" s="151"/>
      <c r="I52" s="151"/>
      <c r="J52" s="151" t="s">
        <v>103</v>
      </c>
      <c r="K52" s="151"/>
      <c r="L52" s="151"/>
      <c r="M52" s="151"/>
    </row>
    <row r="53" spans="1:13" ht="18">
      <c r="A53" s="158"/>
      <c r="B53" s="151"/>
      <c r="C53" s="151"/>
      <c r="D53" s="151"/>
      <c r="E53" s="151"/>
      <c r="F53" s="151"/>
      <c r="G53" s="151"/>
      <c r="H53" s="151"/>
      <c r="I53" s="151"/>
      <c r="J53" s="151"/>
      <c r="K53" s="151"/>
      <c r="L53" s="151"/>
      <c r="M53" s="151"/>
    </row>
    <row r="54" spans="1:13" ht="18">
      <c r="A54" s="158"/>
      <c r="B54" s="151"/>
      <c r="C54" s="151"/>
      <c r="D54" s="151"/>
      <c r="E54" s="151"/>
      <c r="F54" s="151"/>
      <c r="G54" s="151"/>
      <c r="H54" s="151"/>
      <c r="I54" s="151"/>
      <c r="J54" s="151"/>
      <c r="K54" s="151"/>
      <c r="L54" s="151"/>
      <c r="M54" s="151"/>
    </row>
    <row r="55" spans="1:13" ht="18">
      <c r="A55" s="158"/>
      <c r="B55" s="151"/>
      <c r="C55" s="151"/>
      <c r="D55" s="151"/>
      <c r="E55" s="151"/>
      <c r="F55" s="151"/>
      <c r="G55" s="151"/>
      <c r="H55" s="151"/>
      <c r="I55" s="151"/>
      <c r="J55" s="151"/>
      <c r="K55" s="151"/>
      <c r="L55" s="151"/>
      <c r="M55" s="151"/>
    </row>
    <row r="56" spans="1:13" ht="18">
      <c r="A56" s="158"/>
      <c r="B56" s="151"/>
      <c r="C56" s="151"/>
      <c r="D56" s="151"/>
      <c r="E56" s="151"/>
      <c r="F56" s="151"/>
      <c r="G56" s="151"/>
      <c r="H56" s="151"/>
      <c r="I56" s="151"/>
      <c r="J56" s="151"/>
      <c r="K56" s="151"/>
      <c r="L56" s="151"/>
      <c r="M56" s="151"/>
    </row>
    <row r="57" spans="1:13" ht="17.5">
      <c r="A57" s="151"/>
      <c r="B57" s="151"/>
      <c r="C57" s="151"/>
      <c r="D57" s="151"/>
      <c r="E57" s="151"/>
      <c r="F57" s="151"/>
      <c r="G57" s="151"/>
      <c r="H57" s="151"/>
      <c r="I57" s="151"/>
      <c r="J57" s="151"/>
      <c r="K57" s="151"/>
      <c r="L57" s="151"/>
      <c r="M57" s="151"/>
    </row>
    <row r="58" spans="1:13" ht="17.5">
      <c r="A58" s="151"/>
      <c r="B58" s="151"/>
      <c r="C58" s="151"/>
      <c r="D58" s="151"/>
      <c r="E58" s="151"/>
      <c r="F58" s="151"/>
      <c r="G58" s="151"/>
      <c r="H58" s="151"/>
      <c r="I58" s="151"/>
      <c r="J58" s="151"/>
      <c r="K58" s="151"/>
      <c r="L58" s="151"/>
      <c r="M58" s="151"/>
    </row>
    <row r="59" spans="1:13" ht="17.5">
      <c r="A59" s="151"/>
      <c r="B59" s="151"/>
      <c r="C59" s="151"/>
      <c r="D59" s="151"/>
      <c r="E59" s="151"/>
      <c r="F59" s="151"/>
      <c r="G59" s="151"/>
      <c r="H59" s="151"/>
      <c r="I59" s="151"/>
      <c r="J59" s="151"/>
      <c r="K59" s="151"/>
      <c r="L59" s="151"/>
      <c r="M59" s="151"/>
    </row>
    <row r="60" spans="1:13" ht="17.5">
      <c r="A60" s="151"/>
      <c r="B60" s="151"/>
      <c r="C60" s="151"/>
      <c r="D60" s="151"/>
      <c r="E60" s="151"/>
      <c r="F60" s="151"/>
      <c r="G60" s="151"/>
      <c r="H60" s="151"/>
      <c r="I60" s="151"/>
      <c r="J60" s="151"/>
      <c r="K60" s="151"/>
      <c r="L60" s="151"/>
      <c r="M60" s="151"/>
    </row>
    <row r="61" spans="1:13" ht="18">
      <c r="A61" s="151"/>
      <c r="B61" s="151"/>
      <c r="C61" s="151"/>
      <c r="D61" s="161"/>
      <c r="E61" s="151"/>
      <c r="F61" s="151"/>
      <c r="G61" s="151"/>
      <c r="H61" s="151"/>
      <c r="I61" s="151"/>
      <c r="J61" s="161"/>
      <c r="K61" s="151"/>
      <c r="L61" s="161"/>
      <c r="M61" s="151"/>
    </row>
    <row r="62" spans="1:13" ht="18">
      <c r="A62" s="151"/>
      <c r="B62" s="151"/>
      <c r="C62" s="151"/>
      <c r="D62" s="161"/>
      <c r="E62" s="151"/>
      <c r="F62" s="151"/>
      <c r="G62" s="151"/>
      <c r="H62" s="151"/>
      <c r="I62" s="151"/>
      <c r="J62" s="161"/>
      <c r="K62" s="151"/>
      <c r="L62" s="161"/>
      <c r="M62" s="151"/>
    </row>
    <row r="63" spans="1:13" ht="18">
      <c r="A63" s="162"/>
      <c r="B63" s="151"/>
      <c r="C63" s="151"/>
      <c r="D63" s="163"/>
      <c r="E63" s="151"/>
      <c r="F63" s="163"/>
      <c r="G63" s="151"/>
      <c r="H63" s="163"/>
      <c r="I63" s="151"/>
      <c r="J63" s="163"/>
      <c r="K63" s="151"/>
      <c r="L63" s="163"/>
      <c r="M63" s="151"/>
    </row>
    <row r="64" spans="1:13" ht="17.5">
      <c r="A64" s="151"/>
      <c r="B64" s="151"/>
      <c r="C64" s="151"/>
      <c r="D64" s="151"/>
      <c r="E64" s="151"/>
      <c r="F64" s="151"/>
      <c r="G64" s="151"/>
      <c r="H64" s="151"/>
      <c r="I64" s="151"/>
      <c r="J64" s="151"/>
      <c r="K64" s="151"/>
      <c r="L64" s="151"/>
      <c r="M64" s="151"/>
    </row>
    <row r="65" spans="1:13" ht="18">
      <c r="A65" s="154"/>
      <c r="B65" s="151"/>
      <c r="C65" s="151"/>
      <c r="D65" s="151"/>
      <c r="E65" s="151"/>
      <c r="F65" s="151"/>
      <c r="G65" s="151"/>
      <c r="H65" s="151"/>
      <c r="I65" s="151"/>
      <c r="J65" s="151"/>
      <c r="K65" s="151"/>
      <c r="L65" s="151"/>
      <c r="M65" s="151"/>
    </row>
    <row r="66" spans="1:13" ht="17.5">
      <c r="A66" s="151"/>
      <c r="B66" s="151"/>
      <c r="C66" s="151"/>
      <c r="D66" s="151"/>
      <c r="E66" s="151"/>
      <c r="F66" s="151"/>
      <c r="G66" s="151"/>
      <c r="H66" s="151"/>
      <c r="I66" s="151"/>
      <c r="J66" s="151"/>
      <c r="K66" s="151"/>
      <c r="L66" s="151"/>
      <c r="M66" s="151"/>
    </row>
    <row r="67" spans="1:13" ht="20.149999999999999" customHeight="1">
      <c r="A67" s="151"/>
      <c r="B67" s="151"/>
      <c r="C67" s="164"/>
      <c r="D67" s="165"/>
      <c r="E67" s="164"/>
      <c r="F67" s="1181"/>
      <c r="G67" s="164"/>
      <c r="H67" s="1182"/>
      <c r="I67" s="164"/>
      <c r="J67" s="166"/>
      <c r="K67" s="164"/>
      <c r="L67" s="165"/>
      <c r="M67" s="151"/>
    </row>
    <row r="68" spans="1:13" ht="20.149999999999999" customHeight="1">
      <c r="A68" s="151"/>
      <c r="B68" s="151"/>
      <c r="C68" s="151"/>
      <c r="D68" s="165"/>
      <c r="E68" s="151"/>
      <c r="F68" s="151"/>
      <c r="G68" s="151"/>
      <c r="H68" s="1182"/>
      <c r="I68" s="151"/>
      <c r="J68" s="166"/>
      <c r="K68" s="151"/>
      <c r="L68" s="165"/>
      <c r="M68" s="151"/>
    </row>
    <row r="69" spans="1:13" ht="20.149999999999999" customHeight="1">
      <c r="A69" s="151"/>
      <c r="B69" s="151"/>
      <c r="C69" s="151"/>
      <c r="D69" s="165"/>
      <c r="E69" s="151"/>
      <c r="F69" s="151"/>
      <c r="G69" s="151"/>
      <c r="H69" s="1183"/>
      <c r="I69" s="151"/>
      <c r="J69" s="166"/>
      <c r="K69" s="151"/>
      <c r="L69" s="165"/>
      <c r="M69" s="151"/>
    </row>
    <row r="70" spans="1:13" ht="20.149999999999999" customHeight="1">
      <c r="A70" s="151"/>
      <c r="B70" s="151"/>
      <c r="C70" s="151"/>
      <c r="D70" s="165"/>
      <c r="E70" s="151"/>
      <c r="F70" s="151"/>
      <c r="G70" s="151"/>
      <c r="H70" s="1182"/>
      <c r="I70" s="151"/>
      <c r="J70" s="166"/>
      <c r="K70" s="151"/>
      <c r="L70" s="165"/>
      <c r="M70" s="151"/>
    </row>
    <row r="71" spans="1:13" ht="20.149999999999999" customHeight="1">
      <c r="A71" s="151"/>
      <c r="B71" s="151"/>
      <c r="C71" s="151"/>
      <c r="D71" s="165"/>
      <c r="E71" s="151"/>
      <c r="F71" s="151"/>
      <c r="G71" s="151"/>
      <c r="H71" s="1182"/>
      <c r="I71" s="151"/>
      <c r="J71" s="166"/>
      <c r="K71" s="151"/>
      <c r="L71" s="165"/>
      <c r="M71" s="151"/>
    </row>
    <row r="72" spans="1:13" ht="20.149999999999999" customHeight="1">
      <c r="A72" s="151"/>
      <c r="B72" s="151"/>
      <c r="C72" s="151"/>
      <c r="D72" s="165"/>
      <c r="E72" s="151"/>
      <c r="F72" s="151"/>
      <c r="G72" s="151"/>
      <c r="H72" s="1184"/>
      <c r="I72" s="151"/>
      <c r="J72" s="166"/>
      <c r="K72" s="151"/>
      <c r="L72" s="165"/>
      <c r="M72" s="151"/>
    </row>
    <row r="73" spans="1:13" ht="17.5">
      <c r="A73" s="309"/>
      <c r="B73" s="151"/>
      <c r="C73" s="151"/>
      <c r="D73" s="151"/>
      <c r="E73" s="151"/>
      <c r="F73" s="151"/>
      <c r="G73" s="151"/>
      <c r="H73" s="151"/>
      <c r="I73" s="151"/>
      <c r="J73" s="151"/>
      <c r="K73" s="151"/>
      <c r="L73" s="151"/>
      <c r="M73" s="151"/>
    </row>
    <row r="74" spans="1:13" ht="17.5">
      <c r="A74" s="167"/>
      <c r="B74" s="151"/>
      <c r="C74" s="151"/>
      <c r="D74" s="151"/>
      <c r="E74" s="151"/>
      <c r="F74" s="151"/>
      <c r="G74" s="151"/>
      <c r="H74" s="151"/>
      <c r="I74" s="151"/>
      <c r="J74" s="151"/>
      <c r="K74" s="151"/>
      <c r="L74" s="151"/>
      <c r="M74" s="151"/>
    </row>
    <row r="75" spans="1:13" ht="17.5">
      <c r="A75" s="151"/>
      <c r="B75" s="151"/>
      <c r="C75" s="151"/>
      <c r="D75" s="151"/>
      <c r="E75" s="151"/>
      <c r="F75" s="151"/>
      <c r="G75" s="151"/>
      <c r="H75" s="151"/>
      <c r="I75" s="151"/>
      <c r="J75" s="151"/>
      <c r="K75" s="151"/>
      <c r="L75" s="151"/>
      <c r="M75" s="151"/>
    </row>
    <row r="76" spans="1:13" ht="17.5">
      <c r="A76" s="151"/>
      <c r="B76" s="151"/>
      <c r="C76" s="151"/>
      <c r="D76" s="151"/>
      <c r="E76" s="151"/>
      <c r="F76" s="151"/>
      <c r="G76" s="151"/>
      <c r="H76" s="151"/>
      <c r="I76" s="151"/>
      <c r="J76" s="151"/>
      <c r="K76" s="151"/>
      <c r="L76" s="151"/>
      <c r="M76" s="151"/>
    </row>
    <row r="77" spans="1:13" ht="17.5">
      <c r="A77" s="151"/>
      <c r="B77" s="151"/>
      <c r="C77" s="151"/>
      <c r="D77" s="151"/>
      <c r="E77" s="151"/>
      <c r="F77" s="151"/>
      <c r="G77" s="151"/>
      <c r="H77" s="151"/>
      <c r="I77" s="151"/>
      <c r="J77" s="151"/>
      <c r="K77" s="151"/>
      <c r="L77" s="151"/>
      <c r="M77" s="151"/>
    </row>
    <row r="78" spans="1:13" ht="17.5">
      <c r="A78" s="151"/>
      <c r="B78" s="151"/>
      <c r="C78" s="151"/>
      <c r="D78" s="151"/>
      <c r="E78" s="151"/>
      <c r="F78" s="151"/>
      <c r="G78" s="151"/>
      <c r="H78" s="151"/>
      <c r="I78" s="151"/>
      <c r="J78" s="151"/>
      <c r="K78" s="151"/>
      <c r="L78" s="151"/>
      <c r="M78" s="151"/>
    </row>
    <row r="79" spans="1:13" ht="17.5">
      <c r="A79" s="151"/>
      <c r="B79" s="151"/>
      <c r="C79" s="151"/>
      <c r="D79" s="151"/>
      <c r="E79" s="151"/>
      <c r="F79" s="151"/>
      <c r="G79" s="151"/>
      <c r="H79" s="151"/>
      <c r="I79" s="151"/>
      <c r="J79" s="151"/>
      <c r="K79" s="151"/>
      <c r="L79" s="151"/>
      <c r="M79" s="151"/>
    </row>
    <row r="80" spans="1:13" ht="17.5">
      <c r="A80" s="309"/>
      <c r="B80" s="151"/>
      <c r="C80" s="151"/>
      <c r="D80" s="151"/>
      <c r="E80" s="151"/>
      <c r="F80" s="151"/>
      <c r="G80" s="151"/>
      <c r="H80" s="151"/>
      <c r="I80" s="151"/>
      <c r="J80" s="151"/>
      <c r="K80" s="151"/>
      <c r="L80" s="151"/>
      <c r="M80" s="151"/>
    </row>
    <row r="81" spans="1:13" s="151" customFormat="1" ht="17.5"/>
    <row r="82" spans="1:13" ht="17.5">
      <c r="A82" s="151"/>
      <c r="B82" s="151"/>
      <c r="C82" s="151"/>
      <c r="D82" s="151"/>
      <c r="E82" s="151"/>
      <c r="F82" s="151"/>
      <c r="G82" s="151"/>
      <c r="H82" s="151"/>
      <c r="I82" s="151"/>
      <c r="J82" s="151"/>
      <c r="K82" s="151"/>
      <c r="L82" s="151"/>
      <c r="M82" s="151"/>
    </row>
    <row r="83" spans="1:13" s="151" customFormat="1" ht="17.5"/>
    <row r="84" spans="1:13" s="151" customFormat="1" ht="17.5"/>
    <row r="85" spans="1:13" s="151" customFormat="1" ht="17.5"/>
    <row r="86" spans="1:13" ht="17.5">
      <c r="A86" s="151"/>
      <c r="B86" s="151"/>
      <c r="C86" s="151"/>
      <c r="D86" s="151"/>
      <c r="E86" s="151"/>
      <c r="F86" s="151"/>
      <c r="G86" s="151"/>
      <c r="H86" s="151"/>
      <c r="I86" s="151"/>
      <c r="J86" s="151"/>
      <c r="K86" s="151"/>
      <c r="L86" s="151"/>
      <c r="M86" s="151"/>
    </row>
    <row r="87" spans="1:13" s="151" customFormat="1" ht="17.5"/>
    <row r="88" spans="1:13" s="151" customFormat="1" ht="17.5"/>
    <row r="89" spans="1:13" s="151" customFormat="1" ht="17.5"/>
    <row r="90" spans="1:13" s="151" customFormat="1" ht="17.5"/>
    <row r="91" spans="1:13" s="151" customFormat="1" ht="17.5"/>
    <row r="92" spans="1:13" s="151" customFormat="1" ht="17.5"/>
    <row r="93" spans="1:13" s="151" customFormat="1" ht="17.5"/>
    <row r="94" spans="1:13" s="151" customFormat="1" ht="17.5"/>
    <row r="95" spans="1:13" s="151" customFormat="1" ht="17.5"/>
    <row r="96" spans="1:13" s="151" customFormat="1" ht="17.5"/>
    <row r="97" s="151" customFormat="1" ht="17.5"/>
    <row r="98" s="151" customFormat="1" ht="17.5"/>
    <row r="99" s="151" customFormat="1" ht="17.5"/>
    <row r="100" s="151" customFormat="1" ht="17.5"/>
    <row r="101" s="151" customFormat="1" ht="17.5"/>
    <row r="102" s="151" customFormat="1" ht="17.5"/>
    <row r="103" s="151" customFormat="1" ht="17.5"/>
    <row r="104" s="151" customFormat="1" ht="17.5"/>
    <row r="105" s="151" customFormat="1" ht="17.5"/>
    <row r="106" s="151" customFormat="1" ht="17.5"/>
    <row r="107" s="151" customFormat="1" ht="17.5"/>
    <row r="108" s="151" customFormat="1" ht="17.5"/>
    <row r="109" s="151" customFormat="1" ht="17.5"/>
    <row r="110" s="151" customFormat="1" ht="17.5"/>
    <row r="111" s="151" customFormat="1" ht="17.5"/>
    <row r="112" s="151" customFormat="1" ht="17.5"/>
    <row r="113" s="151" customFormat="1" ht="17.5"/>
    <row r="114" s="151" customFormat="1" ht="17.5"/>
    <row r="115" s="151" customFormat="1" ht="17.5"/>
    <row r="116" s="151" customFormat="1" ht="17.5"/>
    <row r="117" s="151" customFormat="1" ht="17.5"/>
    <row r="118" s="151" customFormat="1" ht="17.5"/>
    <row r="119" s="151" customFormat="1" ht="17.5"/>
    <row r="120" s="151" customFormat="1" ht="17.5"/>
    <row r="121" s="151" customFormat="1" ht="17.5"/>
    <row r="122" s="151" customFormat="1" ht="17.5"/>
    <row r="123" s="151" customFormat="1" ht="17.5"/>
    <row r="124" s="151" customFormat="1" ht="17.5"/>
    <row r="125" s="151" customFormat="1" ht="17.5"/>
    <row r="126" s="151" customFormat="1" ht="17.5"/>
    <row r="127" s="151" customFormat="1" ht="17.5"/>
    <row r="128" s="151" customFormat="1" ht="17.5"/>
    <row r="129" s="151" customFormat="1" ht="17.5"/>
    <row r="130" s="151" customFormat="1" ht="17.5"/>
    <row r="131" s="151" customFormat="1" ht="17.5"/>
    <row r="132" s="151" customFormat="1" ht="17.5"/>
    <row r="133" s="151" customFormat="1" ht="17.5"/>
    <row r="134" s="151" customFormat="1" ht="17.5"/>
    <row r="135" s="151" customFormat="1" ht="17.5"/>
    <row r="136" s="151" customFormat="1" ht="17.5"/>
  </sheetData>
  <printOptions horizontalCentered="1"/>
  <pageMargins left="0.5" right="0.5" top="0.5" bottom="0.5" header="0" footer="0.25"/>
  <pageSetup scale="58" firstPageNumber="43"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workbookViewId="0"/>
  </sheetViews>
  <sheetFormatPr defaultColWidth="8.69140625" defaultRowHeight="12.5"/>
  <cols>
    <col min="1" max="1" width="53.53515625" style="643" customWidth="1"/>
    <col min="2" max="2" width="1.69140625" style="643" customWidth="1"/>
    <col min="3" max="3" width="2.69140625" style="643" customWidth="1"/>
    <col min="4" max="4" width="20.69140625" style="643" customWidth="1"/>
    <col min="5" max="5" width="5.69140625" style="643" customWidth="1"/>
    <col min="6" max="6" width="20.69140625" style="643" customWidth="1"/>
    <col min="7" max="7" width="5.69140625" style="643" customWidth="1"/>
    <col min="8" max="8" width="20.69140625" style="643" customWidth="1"/>
    <col min="9" max="9" width="5.69140625" style="643" customWidth="1"/>
    <col min="10" max="10" width="20.69140625" style="643" customWidth="1"/>
    <col min="11" max="11" width="10.69140625" style="643" customWidth="1"/>
    <col min="12" max="16384" width="8.69140625" style="643"/>
  </cols>
  <sheetData>
    <row r="1" spans="1:10" ht="15.5">
      <c r="A1" s="275" t="s">
        <v>97</v>
      </c>
    </row>
    <row r="2" spans="1:10" ht="15.5">
      <c r="A2" s="474"/>
    </row>
    <row r="3" spans="1:10" ht="18">
      <c r="A3" s="644" t="s">
        <v>98</v>
      </c>
      <c r="B3" s="645"/>
      <c r="C3" s="645"/>
      <c r="D3" s="645"/>
      <c r="E3" s="645"/>
      <c r="F3" s="645"/>
      <c r="G3" s="644"/>
      <c r="H3" s="644"/>
      <c r="I3" s="644"/>
      <c r="J3" s="647" t="s">
        <v>812</v>
      </c>
    </row>
    <row r="4" spans="1:10" ht="18">
      <c r="A4" s="644" t="s">
        <v>813</v>
      </c>
      <c r="B4" s="645"/>
      <c r="C4" s="644"/>
      <c r="D4" s="645"/>
      <c r="E4" s="645"/>
      <c r="F4" s="645"/>
      <c r="G4" s="644"/>
      <c r="H4" s="644"/>
      <c r="I4" s="644"/>
      <c r="J4" s="644"/>
    </row>
    <row r="5" spans="1:10" ht="18">
      <c r="A5" s="644" t="s">
        <v>814</v>
      </c>
      <c r="B5" s="645"/>
      <c r="C5" s="644"/>
      <c r="D5" s="645"/>
      <c r="E5" s="645"/>
      <c r="F5" s="645"/>
      <c r="G5" s="644"/>
      <c r="H5" s="644"/>
      <c r="I5" s="644"/>
      <c r="J5" s="644"/>
    </row>
    <row r="6" spans="1:10" ht="18">
      <c r="A6" s="644" t="str">
        <f>'Sch 3 '!A7</f>
        <v>FISCAL YEAR 2024-2025</v>
      </c>
      <c r="B6" s="645"/>
      <c r="C6" s="644"/>
      <c r="D6" s="645"/>
      <c r="E6" s="645"/>
      <c r="F6" s="645"/>
      <c r="G6" s="644"/>
      <c r="H6" s="644"/>
      <c r="I6" s="644"/>
      <c r="J6" s="644"/>
    </row>
    <row r="7" spans="1:10" ht="18">
      <c r="A7" s="646" t="str">
        <f>'Sch 3 '!A8</f>
        <v>FOR THE MONTH OF FEBRUARY 2025</v>
      </c>
      <c r="B7" s="645"/>
      <c r="C7" s="644"/>
      <c r="D7" s="645"/>
      <c r="E7" s="645"/>
      <c r="F7" s="645"/>
      <c r="G7" s="644"/>
      <c r="H7" s="644"/>
      <c r="I7" s="644"/>
      <c r="J7" s="644"/>
    </row>
    <row r="8" spans="1:10" ht="18">
      <c r="A8" s="644" t="s">
        <v>102</v>
      </c>
      <c r="B8" s="645"/>
      <c r="C8" s="644"/>
      <c r="D8" s="645"/>
      <c r="E8" s="645"/>
      <c r="F8" s="645"/>
      <c r="G8" s="644"/>
      <c r="H8" s="644"/>
      <c r="I8" s="644"/>
      <c r="J8" s="644"/>
    </row>
    <row r="9" spans="1:10" ht="18">
      <c r="A9" s="644"/>
      <c r="B9" s="645"/>
      <c r="C9" s="644"/>
      <c r="D9" s="645"/>
      <c r="E9" s="645"/>
      <c r="F9" s="645"/>
      <c r="G9" s="644"/>
      <c r="H9" s="644"/>
      <c r="I9" s="644"/>
      <c r="J9" s="644"/>
    </row>
    <row r="10" spans="1:10" ht="18">
      <c r="A10" s="644"/>
      <c r="B10" s="644"/>
      <c r="C10" s="644"/>
      <c r="D10" s="644"/>
      <c r="E10" s="644"/>
      <c r="F10" s="644"/>
      <c r="G10" s="644"/>
      <c r="H10" s="644"/>
      <c r="I10" s="644"/>
      <c r="J10" s="644"/>
    </row>
    <row r="11" spans="1:10" ht="18">
      <c r="A11" s="644"/>
      <c r="B11" s="644"/>
      <c r="C11" s="644"/>
      <c r="D11" s="647"/>
      <c r="E11" s="644"/>
      <c r="F11" s="644"/>
      <c r="G11" s="644"/>
      <c r="H11" s="644"/>
      <c r="I11" s="644"/>
      <c r="J11" s="647"/>
    </row>
    <row r="12" spans="1:10" ht="18">
      <c r="A12" s="644"/>
      <c r="B12" s="644"/>
      <c r="C12" s="644"/>
      <c r="D12" s="647" t="s">
        <v>617</v>
      </c>
      <c r="E12" s="644"/>
      <c r="F12" s="644"/>
      <c r="G12" s="644"/>
      <c r="H12" s="644"/>
      <c r="I12" s="644"/>
      <c r="J12" s="647" t="s">
        <v>617</v>
      </c>
    </row>
    <row r="13" spans="1:10" ht="18">
      <c r="A13" s="648" t="s">
        <v>762</v>
      </c>
      <c r="B13" s="644"/>
      <c r="C13" s="644"/>
      <c r="D13" s="649" t="str">
        <f>'Sch 3 '!D12</f>
        <v>FEBRUARY 1, 2025</v>
      </c>
      <c r="E13" s="644"/>
      <c r="F13" s="647" t="s">
        <v>619</v>
      </c>
      <c r="G13" s="644"/>
      <c r="H13" s="647" t="s">
        <v>620</v>
      </c>
      <c r="I13" s="644"/>
      <c r="J13" s="649" t="str">
        <f>'Sch 3 '!L12</f>
        <v>FEBRUARY 28, 2025</v>
      </c>
    </row>
    <row r="14" spans="1:10" ht="18">
      <c r="A14" s="648"/>
      <c r="B14" s="644"/>
      <c r="C14" s="644"/>
      <c r="D14" s="650"/>
      <c r="E14" s="644"/>
      <c r="F14" s="650"/>
      <c r="G14" s="644"/>
      <c r="H14" s="651" t="s">
        <v>616</v>
      </c>
      <c r="I14" s="644"/>
      <c r="J14" s="650"/>
    </row>
    <row r="15" spans="1:10" ht="18">
      <c r="A15" s="652" t="s">
        <v>815</v>
      </c>
      <c r="B15" s="644"/>
      <c r="C15" s="644"/>
      <c r="D15" s="644"/>
      <c r="E15" s="644"/>
      <c r="F15" s="869"/>
      <c r="G15" s="644"/>
      <c r="H15" s="644"/>
      <c r="I15" s="644"/>
      <c r="J15" s="644"/>
    </row>
    <row r="16" spans="1:10" ht="25.4" customHeight="1">
      <c r="A16" s="645" t="s">
        <v>816</v>
      </c>
      <c r="B16" s="644"/>
      <c r="C16" s="645"/>
      <c r="D16" s="1778">
        <v>3.254</v>
      </c>
      <c r="E16" s="1779"/>
      <c r="F16" s="1778">
        <v>1.2E-2</v>
      </c>
      <c r="G16" s="1779"/>
      <c r="H16" s="1778">
        <v>0</v>
      </c>
      <c r="I16" s="653"/>
      <c r="J16" s="653">
        <f>ROUND(D16+F16-H16,3)</f>
        <v>3.266</v>
      </c>
    </row>
    <row r="17" spans="1:14" ht="25.4" customHeight="1">
      <c r="A17" s="645" t="s">
        <v>817</v>
      </c>
      <c r="B17" s="645"/>
      <c r="C17" s="645"/>
      <c r="D17" s="603">
        <v>467.43900000000002</v>
      </c>
      <c r="E17" s="655"/>
      <c r="F17" s="603">
        <v>456.084</v>
      </c>
      <c r="G17" s="653"/>
      <c r="H17" s="603">
        <v>432.18700000000001</v>
      </c>
      <c r="I17" s="655"/>
      <c r="J17" s="656">
        <f>ROUND(D17+F17-H17,3)</f>
        <v>491.33600000000001</v>
      </c>
    </row>
    <row r="18" spans="1:14" ht="25.4" customHeight="1">
      <c r="A18" s="654" t="s">
        <v>818</v>
      </c>
      <c r="B18" s="645"/>
      <c r="C18" s="645"/>
      <c r="D18" s="603">
        <v>3637.7689999999998</v>
      </c>
      <c r="E18" s="655"/>
      <c r="F18" s="603">
        <v>3816.2900000000004</v>
      </c>
      <c r="G18" s="653"/>
      <c r="H18" s="603">
        <v>4126.4459999999999</v>
      </c>
      <c r="I18" s="655"/>
      <c r="J18" s="656">
        <f>ROUND(D18+F18-H18,3)</f>
        <v>3327.6129999999998</v>
      </c>
    </row>
    <row r="19" spans="1:14" ht="25.4" customHeight="1">
      <c r="A19" s="645" t="s">
        <v>819</v>
      </c>
      <c r="B19" s="645"/>
      <c r="C19" s="645"/>
      <c r="D19" s="603">
        <v>0</v>
      </c>
      <c r="E19" s="655"/>
      <c r="F19" s="603">
        <v>425.95400000000001</v>
      </c>
      <c r="G19" s="653"/>
      <c r="H19" s="603">
        <v>425.95400000000001</v>
      </c>
      <c r="I19" s="655"/>
      <c r="J19" s="656">
        <f>ROUND(D19+F19-H19,3)</f>
        <v>0</v>
      </c>
    </row>
    <row r="20" spans="1:14" ht="25.4" customHeight="1" thickBot="1">
      <c r="A20" s="657" t="s">
        <v>820</v>
      </c>
      <c r="B20" s="645"/>
      <c r="C20" s="645"/>
      <c r="D20" s="658">
        <f>ROUND(SUM(D16:D19),3)</f>
        <v>4108.4620000000004</v>
      </c>
      <c r="E20" s="870"/>
      <c r="F20" s="658">
        <f>ROUND(SUM(F16:F19),3)</f>
        <v>4698.34</v>
      </c>
      <c r="G20" s="870"/>
      <c r="H20" s="658">
        <f>ROUND(SUM(H16:H19),3)</f>
        <v>4984.5870000000004</v>
      </c>
      <c r="I20" s="870"/>
      <c r="J20" s="658">
        <f>ROUND(SUM(J16:J19),3)</f>
        <v>3822.2150000000001</v>
      </c>
      <c r="K20" s="659"/>
      <c r="L20" s="659"/>
      <c r="M20" s="659"/>
      <c r="N20" s="659"/>
    </row>
    <row r="21" spans="1:14" ht="18" thickTop="1">
      <c r="A21" s="645"/>
      <c r="B21" s="645"/>
      <c r="C21" s="645"/>
      <c r="D21" s="645"/>
      <c r="E21" s="645"/>
      <c r="F21" s="645"/>
      <c r="G21" s="645"/>
      <c r="H21" s="645"/>
      <c r="I21" s="645"/>
      <c r="J21" s="645"/>
    </row>
    <row r="22" spans="1:14" ht="17.5">
      <c r="A22" s="645"/>
      <c r="B22" s="645"/>
      <c r="C22" s="645"/>
      <c r="D22" s="645"/>
      <c r="E22" s="645"/>
      <c r="F22" s="645"/>
      <c r="G22" s="645"/>
      <c r="H22" s="645"/>
      <c r="I22" s="645"/>
      <c r="J22" s="645"/>
    </row>
    <row r="23" spans="1:14" ht="6.75" customHeight="1">
      <c r="A23" s="645"/>
      <c r="B23" s="645"/>
      <c r="C23" s="645"/>
      <c r="D23" s="645"/>
      <c r="E23" s="645"/>
      <c r="F23" s="645"/>
      <c r="G23" s="645"/>
      <c r="H23" s="645"/>
      <c r="I23" s="645"/>
      <c r="J23" s="645"/>
    </row>
    <row r="24" spans="1:14" ht="17.5">
      <c r="A24" s="698" t="s">
        <v>821</v>
      </c>
      <c r="B24" s="645"/>
      <c r="C24" s="645"/>
      <c r="D24" s="645"/>
      <c r="E24" s="645"/>
      <c r="F24" s="645" t="s">
        <v>103</v>
      </c>
      <c r="G24" s="645"/>
      <c r="H24" s="645"/>
      <c r="I24" s="645"/>
      <c r="J24" s="645"/>
    </row>
    <row r="25" spans="1:14" ht="6" customHeight="1"/>
    <row r="26" spans="1:14" ht="59.25" customHeight="1">
      <c r="A26" s="2130" t="s">
        <v>822</v>
      </c>
      <c r="B26" s="2130"/>
      <c r="C26" s="2130"/>
      <c r="D26" s="2130"/>
      <c r="E26" s="2130"/>
      <c r="F26" s="2130"/>
      <c r="G26" s="2130"/>
      <c r="H26" s="2130"/>
      <c r="I26" s="2130"/>
      <c r="J26" s="2130"/>
    </row>
    <row r="27" spans="1:14" ht="43.4" customHeight="1">
      <c r="A27" s="2131" t="s">
        <v>1584</v>
      </c>
      <c r="B27" s="2131"/>
      <c r="C27" s="2131"/>
      <c r="D27" s="2131"/>
      <c r="E27" s="2131"/>
      <c r="F27" s="2131"/>
      <c r="G27" s="2131"/>
      <c r="H27" s="2131"/>
      <c r="I27" s="2131"/>
      <c r="J27" s="2131"/>
    </row>
    <row r="28" spans="1:14" ht="18.75" customHeight="1">
      <c r="A28" s="2132"/>
      <c r="B28" s="2132"/>
      <c r="C28" s="2132"/>
      <c r="D28" s="2132"/>
      <c r="E28" s="2132"/>
      <c r="F28" s="2132"/>
      <c r="G28" s="2132"/>
      <c r="H28" s="2132"/>
      <c r="I28" s="2132"/>
      <c r="J28" s="2132"/>
    </row>
    <row r="29" spans="1:14" ht="20.25" customHeight="1">
      <c r="A29" s="1256"/>
      <c r="B29" s="451"/>
      <c r="C29" s="451"/>
      <c r="D29" s="451"/>
      <c r="E29" s="451"/>
      <c r="F29" s="451"/>
      <c r="G29" s="451"/>
      <c r="H29" s="451"/>
      <c r="I29" s="451"/>
      <c r="J29" s="451"/>
    </row>
    <row r="30" spans="1:14" ht="20.25" customHeight="1">
      <c r="A30" s="1256"/>
      <c r="B30" s="451"/>
      <c r="C30" s="451"/>
      <c r="D30" s="451"/>
      <c r="E30" s="451"/>
      <c r="F30" s="451"/>
      <c r="G30" s="451"/>
      <c r="H30" s="451"/>
      <c r="I30" s="451"/>
      <c r="J30" s="451"/>
    </row>
    <row r="31" spans="1:14" ht="20.25" customHeight="1">
      <c r="A31" s="1256"/>
      <c r="B31" s="451"/>
      <c r="C31" s="451"/>
      <c r="D31" s="451"/>
      <c r="E31" s="451"/>
      <c r="F31" s="451"/>
      <c r="G31" s="451"/>
      <c r="H31" s="451"/>
      <c r="I31" s="451"/>
      <c r="J31" s="451"/>
    </row>
    <row r="32" spans="1:14" ht="20.25" customHeight="1">
      <c r="A32" s="1256"/>
      <c r="B32" s="451"/>
      <c r="C32" s="451"/>
      <c r="D32" s="451"/>
      <c r="E32" s="451"/>
      <c r="F32" s="451"/>
      <c r="G32" s="451"/>
      <c r="H32" s="451"/>
      <c r="I32" s="451"/>
      <c r="J32" s="451"/>
    </row>
    <row r="33" spans="1:10" ht="20.25" customHeight="1">
      <c r="A33" s="1256"/>
      <c r="B33" s="451"/>
      <c r="C33" s="451"/>
      <c r="D33" s="451"/>
      <c r="E33" s="451"/>
      <c r="F33" s="451"/>
      <c r="G33" s="451"/>
      <c r="H33" s="451"/>
      <c r="I33" s="451"/>
      <c r="J33" s="451"/>
    </row>
    <row r="34" spans="1:10" ht="20.25" customHeight="1">
      <c r="A34" s="1256"/>
      <c r="B34" s="451"/>
      <c r="C34" s="451"/>
      <c r="D34" s="451"/>
      <c r="E34" s="451"/>
      <c r="F34" s="451"/>
      <c r="G34" s="451"/>
      <c r="H34" s="451"/>
      <c r="I34" s="451"/>
      <c r="J34" s="451"/>
    </row>
    <row r="35" spans="1:10" ht="20.25" customHeight="1">
      <c r="A35" s="1256"/>
      <c r="B35" s="451"/>
      <c r="C35" s="451"/>
      <c r="D35" s="451"/>
      <c r="E35" s="451"/>
      <c r="F35" s="451"/>
      <c r="G35" s="451"/>
      <c r="H35" s="451"/>
      <c r="I35" s="451"/>
      <c r="J35" s="451"/>
    </row>
    <row r="36" spans="1:10" ht="20.25" customHeight="1">
      <c r="A36" s="1256"/>
      <c r="B36" s="451"/>
      <c r="C36" s="451"/>
      <c r="D36" s="451"/>
      <c r="E36" s="451"/>
      <c r="F36" s="451"/>
      <c r="G36" s="451"/>
      <c r="H36" s="451"/>
      <c r="I36" s="451"/>
      <c r="J36" s="451"/>
    </row>
    <row r="37" spans="1:10" ht="20.25" customHeight="1">
      <c r="A37" s="1256"/>
      <c r="B37" s="451"/>
      <c r="C37" s="451"/>
      <c r="D37" s="451"/>
      <c r="E37" s="451"/>
      <c r="F37" s="451"/>
      <c r="G37" s="451"/>
      <c r="H37" s="451"/>
      <c r="I37" s="451"/>
      <c r="J37" s="451"/>
    </row>
    <row r="38" spans="1:10" ht="20.25" customHeight="1">
      <c r="A38" s="1256"/>
      <c r="B38" s="451"/>
      <c r="C38" s="451"/>
      <c r="D38" s="451"/>
      <c r="E38" s="451"/>
      <c r="F38" s="451"/>
      <c r="G38" s="451"/>
      <c r="H38" s="451"/>
      <c r="I38" s="451"/>
      <c r="J38" s="451"/>
    </row>
    <row r="39" spans="1:10" ht="20.25" customHeight="1">
      <c r="A39" s="1256"/>
      <c r="B39" s="451"/>
      <c r="C39" s="451"/>
      <c r="D39" s="451"/>
      <c r="E39" s="451"/>
      <c r="F39" s="451"/>
      <c r="G39" s="451"/>
      <c r="H39" s="451"/>
      <c r="I39" s="451"/>
      <c r="J39" s="451"/>
    </row>
    <row r="40" spans="1:10" ht="21" customHeight="1"/>
    <row r="41" spans="1:10" ht="21" customHeight="1">
      <c r="A41" s="1256"/>
      <c r="B41" s="451"/>
      <c r="C41" s="451"/>
      <c r="D41" s="451"/>
      <c r="E41" s="451"/>
      <c r="F41" s="451"/>
      <c r="G41" s="451"/>
      <c r="H41" s="451"/>
      <c r="I41" s="451"/>
      <c r="J41" s="451"/>
    </row>
    <row r="42" spans="1:10" ht="18" customHeight="1">
      <c r="A42" s="660"/>
      <c r="C42" s="661"/>
      <c r="D42" s="662"/>
      <c r="E42" s="661"/>
      <c r="F42" s="662"/>
      <c r="G42" s="661"/>
      <c r="H42" s="662"/>
      <c r="I42" s="662"/>
    </row>
    <row r="43" spans="1:10" ht="18" customHeight="1">
      <c r="A43" s="663"/>
      <c r="D43" s="662"/>
      <c r="F43" s="664"/>
      <c r="G43" s="662"/>
      <c r="H43" s="662"/>
      <c r="I43" s="662"/>
    </row>
    <row r="44" spans="1:10" ht="18" customHeight="1">
      <c r="A44" s="663"/>
      <c r="D44" s="662"/>
      <c r="F44" s="664"/>
      <c r="G44" s="662"/>
      <c r="H44" s="662"/>
      <c r="I44" s="662"/>
    </row>
    <row r="45" spans="1:10" ht="18" customHeight="1">
      <c r="A45" s="663"/>
      <c r="D45" s="662"/>
      <c r="F45" s="664"/>
      <c r="G45" s="662"/>
      <c r="H45" s="662"/>
      <c r="I45" s="662"/>
    </row>
    <row r="46" spans="1:10" ht="18" customHeight="1">
      <c r="A46" s="663"/>
      <c r="D46" s="662"/>
      <c r="F46" s="662"/>
      <c r="G46" s="662"/>
      <c r="H46" s="665"/>
      <c r="I46" s="662"/>
    </row>
    <row r="47" spans="1:10" ht="18" customHeight="1">
      <c r="A47" s="666"/>
      <c r="D47" s="662"/>
      <c r="F47" s="662"/>
      <c r="G47" s="662"/>
      <c r="H47" s="662"/>
      <c r="I47" s="662"/>
    </row>
    <row r="48" spans="1:10" ht="18" customHeight="1">
      <c r="A48" s="667"/>
      <c r="D48" s="662"/>
      <c r="F48" s="665"/>
      <c r="G48" s="662"/>
      <c r="H48" s="662"/>
      <c r="I48" s="662"/>
    </row>
    <row r="49" spans="1:9" ht="18" customHeight="1">
      <c r="A49" s="663"/>
      <c r="D49" s="662"/>
      <c r="F49" s="664"/>
      <c r="G49" s="662"/>
      <c r="H49" s="662"/>
      <c r="I49" s="662"/>
    </row>
    <row r="50" spans="1:9" ht="18" customHeight="1">
      <c r="A50" s="663"/>
      <c r="D50" s="662"/>
      <c r="F50" s="668"/>
      <c r="G50" s="662"/>
      <c r="H50" s="665"/>
      <c r="I50" s="662"/>
    </row>
    <row r="51" spans="1:9" ht="18" customHeight="1">
      <c r="A51" s="666"/>
      <c r="C51" s="661"/>
      <c r="D51" s="669"/>
      <c r="E51" s="661"/>
      <c r="G51" s="661"/>
      <c r="H51" s="669"/>
      <c r="I51" s="662"/>
    </row>
  </sheetData>
  <mergeCells count="3">
    <mergeCell ref="A26:J26"/>
    <mergeCell ref="A27:J27"/>
    <mergeCell ref="A28:J28"/>
  </mergeCells>
  <printOptions horizontalCentered="1"/>
  <pageMargins left="0.5" right="0.5" top="0.5" bottom="0.5" header="0" footer="0.25"/>
  <pageSetup scale="67" firstPageNumber="44" orientation="landscape" useFirstPageNumber="1" r:id="rId1"/>
  <headerFooter scaleWithDoc="0" alignWithMargins="0">
    <oddFooter>&amp;C&amp;8&amp;P</oddFooter>
  </headerFooter>
  <rowBreaks count="1" manualBreakCount="1">
    <brk id="69"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S92"/>
  <sheetViews>
    <sheetView showGridLines="0" workbookViewId="0"/>
  </sheetViews>
  <sheetFormatPr defaultColWidth="8.69140625" defaultRowHeight="12.5"/>
  <cols>
    <col min="1" max="1" width="42" style="269" customWidth="1"/>
    <col min="2" max="2" width="2.07421875" style="269" customWidth="1"/>
    <col min="3" max="3" width="17.07421875" style="352" customWidth="1"/>
    <col min="4" max="4" width="3" style="352" customWidth="1"/>
    <col min="5" max="5" width="15.4609375" style="269" customWidth="1"/>
    <col min="6" max="6" width="2.07421875" style="269" customWidth="1"/>
    <col min="7" max="7" width="16.07421875" style="269" customWidth="1"/>
    <col min="8" max="8" width="2.07421875" style="269" customWidth="1"/>
    <col min="9" max="9" width="15.53515625" style="270" customWidth="1"/>
    <col min="10" max="10" width="2.07421875" style="269" customWidth="1"/>
    <col min="11" max="11" width="16.4609375" style="270" bestFit="1" customWidth="1"/>
    <col min="12" max="12" width="2.07421875" style="269" customWidth="1"/>
    <col min="13" max="13" width="17.07421875" style="352" customWidth="1"/>
    <col min="14" max="14" width="1.69140625" style="269" customWidth="1"/>
    <col min="15" max="15" width="1.07421875" style="269" customWidth="1"/>
    <col min="16" max="16" width="2" style="269" customWidth="1"/>
    <col min="17" max="17" width="15.4609375" style="269" customWidth="1"/>
    <col min="18" max="18" width="2.07421875" style="269" customWidth="1"/>
    <col min="19" max="19" width="16.4609375" style="269" bestFit="1" customWidth="1"/>
    <col min="20" max="16384" width="8.69140625" style="269"/>
  </cols>
  <sheetData>
    <row r="1" spans="1:19" ht="15.5">
      <c r="A1" s="397" t="s">
        <v>97</v>
      </c>
    </row>
    <row r="2" spans="1:19" ht="15.5">
      <c r="A2" s="275"/>
    </row>
    <row r="3" spans="1:19" ht="18">
      <c r="A3" s="268" t="s">
        <v>98</v>
      </c>
      <c r="S3" s="268" t="s">
        <v>823</v>
      </c>
    </row>
    <row r="4" spans="1:19" ht="18">
      <c r="A4" s="268" t="s">
        <v>548</v>
      </c>
      <c r="J4" s="269" t="s">
        <v>103</v>
      </c>
    </row>
    <row r="5" spans="1:19" ht="18">
      <c r="A5" s="268" t="s">
        <v>824</v>
      </c>
    </row>
    <row r="6" spans="1:19" ht="18">
      <c r="A6" s="579" t="str">
        <f>'Cashflow Governmental'!$A$6</f>
        <v>FISCAL YEAR 2024-2025</v>
      </c>
    </row>
    <row r="9" spans="1:19" ht="15.65" customHeight="1">
      <c r="C9" s="914"/>
      <c r="D9" s="914"/>
      <c r="E9" s="2133" t="s">
        <v>1486</v>
      </c>
      <c r="F9" s="2133"/>
      <c r="G9" s="2133"/>
      <c r="H9" s="1185"/>
      <c r="I9" s="1186" t="s">
        <v>825</v>
      </c>
      <c r="J9" s="1186"/>
      <c r="K9" s="1186"/>
      <c r="L9" s="1187"/>
      <c r="M9" s="1187"/>
      <c r="N9" s="1187"/>
      <c r="O9" s="1188"/>
      <c r="P9" s="1187"/>
      <c r="Q9" s="1186" t="s">
        <v>826</v>
      </c>
      <c r="R9" s="1186"/>
      <c r="S9" s="1186"/>
    </row>
    <row r="10" spans="1:19" ht="13">
      <c r="C10" s="561" t="s">
        <v>827</v>
      </c>
      <c r="D10" s="561"/>
      <c r="E10" s="1189"/>
      <c r="F10" s="560"/>
      <c r="G10" s="1190"/>
      <c r="H10" s="1187"/>
      <c r="I10" s="1190"/>
      <c r="J10" s="1190"/>
      <c r="K10" s="1190"/>
      <c r="L10" s="1187"/>
      <c r="M10" s="561" t="s">
        <v>827</v>
      </c>
      <c r="N10" s="1187"/>
      <c r="O10" s="1191"/>
      <c r="P10" s="1187"/>
    </row>
    <row r="11" spans="1:19" ht="13">
      <c r="C11" s="561" t="s">
        <v>828</v>
      </c>
      <c r="D11" s="561"/>
      <c r="E11" s="1190" t="s">
        <v>109</v>
      </c>
      <c r="F11" s="560"/>
      <c r="G11" s="562" t="str">
        <f>_xlfn.CONCAT(_xlfn.TEXTBEFORE('Exhibit A'!$F$11," ")," MONTHS ENDED")</f>
        <v>11 MONTHS ENDED</v>
      </c>
      <c r="H11" s="1187"/>
      <c r="I11" s="560" t="s">
        <v>829</v>
      </c>
      <c r="J11" s="1192" t="s">
        <v>103</v>
      </c>
      <c r="K11" s="560" t="str">
        <f>G11</f>
        <v>11 MONTHS ENDED</v>
      </c>
      <c r="L11" s="1187"/>
      <c r="M11" s="561" t="s">
        <v>828</v>
      </c>
      <c r="N11" s="1187"/>
      <c r="O11" s="1191"/>
      <c r="P11" s="1187"/>
      <c r="Q11" s="560" t="s">
        <v>829</v>
      </c>
      <c r="R11" s="1192" t="s">
        <v>103</v>
      </c>
      <c r="S11" s="560" t="str">
        <f>K11</f>
        <v>11 MONTHS ENDED</v>
      </c>
    </row>
    <row r="12" spans="1:19" ht="13">
      <c r="A12" s="1111" t="s">
        <v>830</v>
      </c>
      <c r="C12" s="1112" t="str">
        <f>'Cashflow Governmental'!$C$14&amp;" 1, "&amp;'Cashflow Governmental'!$C$13</f>
        <v>APRIL 1, 2024</v>
      </c>
      <c r="D12" s="1307"/>
      <c r="E12" s="1732" t="str">
        <f>_xlfn.TEXTBEFORE(Footnotes!$O$3," ")</f>
        <v>FEBRUARY</v>
      </c>
      <c r="F12" s="562"/>
      <c r="G12" s="1732" t="str">
        <f>_xlfn.TEXTAFTER('Exh D Governmental  '!A6," ",4)</f>
        <v>FEBRUARY 28, 2025</v>
      </c>
      <c r="H12" s="1187"/>
      <c r="I12" s="1732" t="str">
        <f>E12</f>
        <v>FEBRUARY</v>
      </c>
      <c r="J12" s="1187"/>
      <c r="K12" s="1193" t="str">
        <f>G12</f>
        <v>FEBRUARY 28, 2025</v>
      </c>
      <c r="L12" s="1187"/>
      <c r="M12" s="1193" t="str">
        <f>K12</f>
        <v>FEBRUARY 28, 2025</v>
      </c>
      <c r="N12" s="1187"/>
      <c r="O12" s="1191"/>
      <c r="P12" s="1187"/>
      <c r="Q12" s="1732" t="str">
        <f>E12</f>
        <v>FEBRUARY</v>
      </c>
      <c r="R12" s="1187"/>
      <c r="S12" s="1193" t="str">
        <f>M12</f>
        <v>FEBRUARY 28, 2025</v>
      </c>
    </row>
    <row r="13" spans="1:19">
      <c r="K13" s="1194"/>
      <c r="O13" s="1195"/>
    </row>
    <row r="14" spans="1:19" ht="13">
      <c r="A14" s="271" t="s">
        <v>831</v>
      </c>
      <c r="K14" s="1194"/>
      <c r="O14" s="1195"/>
      <c r="Q14" s="270"/>
    </row>
    <row r="15" spans="1:19" ht="12" customHeight="1">
      <c r="A15" s="271"/>
      <c r="K15" s="1194"/>
      <c r="M15" s="352" t="s">
        <v>103</v>
      </c>
      <c r="O15" s="1195"/>
      <c r="Q15" s="270"/>
    </row>
    <row r="16" spans="1:19">
      <c r="A16" s="269" t="s">
        <v>832</v>
      </c>
      <c r="B16" s="270"/>
      <c r="C16" s="1196">
        <v>5385493</v>
      </c>
      <c r="D16" s="1196"/>
      <c r="E16" s="1196">
        <v>0</v>
      </c>
      <c r="F16" s="571"/>
      <c r="G16" s="1196">
        <v>0</v>
      </c>
      <c r="H16" s="1196"/>
      <c r="I16" s="1196">
        <v>943957</v>
      </c>
      <c r="J16" s="571"/>
      <c r="K16" s="1196">
        <v>1832313</v>
      </c>
      <c r="L16" s="571" t="s">
        <v>103</v>
      </c>
      <c r="M16" s="1196">
        <f>ROUND(SUM(C16)-SUM(K16)+SUM(G16),0)</f>
        <v>3553180</v>
      </c>
      <c r="O16" s="1195"/>
      <c r="P16" s="270"/>
      <c r="Q16" s="1196">
        <v>53425</v>
      </c>
      <c r="R16" s="571"/>
      <c r="S16" s="1196">
        <v>129061</v>
      </c>
    </row>
    <row r="17" spans="1:19">
      <c r="E17" s="1757"/>
      <c r="F17" s="1756"/>
      <c r="G17" s="1757"/>
      <c r="I17" s="1757"/>
      <c r="K17" s="1757"/>
      <c r="O17" s="1195"/>
      <c r="Q17" s="1757"/>
      <c r="S17" s="1757"/>
    </row>
    <row r="18" spans="1:19">
      <c r="A18" s="269" t="s">
        <v>833</v>
      </c>
      <c r="E18" s="270"/>
      <c r="F18" s="1756"/>
      <c r="G18" s="270"/>
      <c r="J18" s="270"/>
      <c r="O18" s="1195"/>
      <c r="Q18" s="270"/>
      <c r="R18" s="270"/>
      <c r="S18" s="270"/>
    </row>
    <row r="19" spans="1:19" ht="12" customHeight="1">
      <c r="A19" s="269" t="s">
        <v>834</v>
      </c>
      <c r="C19" s="912">
        <v>951679</v>
      </c>
      <c r="D19" s="912"/>
      <c r="E19" s="912">
        <v>0</v>
      </c>
      <c r="F19" s="1758"/>
      <c r="G19" s="912">
        <v>0</v>
      </c>
      <c r="H19" s="912"/>
      <c r="I19" s="597">
        <v>183207</v>
      </c>
      <c r="J19" s="912"/>
      <c r="K19" s="597">
        <v>183207</v>
      </c>
      <c r="L19" s="1758" t="s">
        <v>103</v>
      </c>
      <c r="M19" s="912">
        <f>ROUND(SUM(C19)-SUM(K19)+SUM(G19),0)</f>
        <v>768472</v>
      </c>
      <c r="O19" s="1195"/>
      <c r="P19" s="269" t="s">
        <v>103</v>
      </c>
      <c r="Q19" s="597">
        <v>12250</v>
      </c>
      <c r="R19" s="912"/>
      <c r="S19" s="597">
        <v>29096</v>
      </c>
    </row>
    <row r="20" spans="1:19">
      <c r="A20" s="269" t="s">
        <v>835</v>
      </c>
      <c r="C20" s="912">
        <v>0</v>
      </c>
      <c r="D20" s="912"/>
      <c r="E20" s="912">
        <v>0</v>
      </c>
      <c r="F20" s="1758"/>
      <c r="G20" s="912">
        <v>0</v>
      </c>
      <c r="H20" s="912"/>
      <c r="I20" s="597">
        <v>0</v>
      </c>
      <c r="J20" s="912"/>
      <c r="K20" s="597">
        <v>0</v>
      </c>
      <c r="L20" s="1758"/>
      <c r="M20" s="912">
        <f>ROUND(SUM(C20)-SUM(K20)+SUM(G20),0)</f>
        <v>0</v>
      </c>
      <c r="O20" s="1195"/>
      <c r="Q20" s="597">
        <v>0</v>
      </c>
      <c r="R20" s="912"/>
      <c r="S20" s="597">
        <v>0</v>
      </c>
    </row>
    <row r="21" spans="1:19">
      <c r="A21" s="269" t="s">
        <v>836</v>
      </c>
      <c r="C21" s="912">
        <v>209986794</v>
      </c>
      <c r="D21" s="912"/>
      <c r="E21" s="912">
        <v>0</v>
      </c>
      <c r="F21" s="1758"/>
      <c r="G21" s="912">
        <v>0</v>
      </c>
      <c r="H21" s="912"/>
      <c r="I21" s="597">
        <v>9251728</v>
      </c>
      <c r="J21" s="912"/>
      <c r="K21" s="597">
        <v>13062147</v>
      </c>
      <c r="L21" s="1758" t="s">
        <v>103</v>
      </c>
      <c r="M21" s="912">
        <f>ROUND(SUM(C21)-SUM(K21)+SUM(G21),0)</f>
        <v>196924647</v>
      </c>
      <c r="O21" s="1195"/>
      <c r="Q21" s="597">
        <v>1254294</v>
      </c>
      <c r="R21" s="912"/>
      <c r="S21" s="597">
        <v>4835622</v>
      </c>
    </row>
    <row r="22" spans="1:19">
      <c r="A22" s="269" t="s">
        <v>837</v>
      </c>
      <c r="C22" s="912">
        <v>5552356</v>
      </c>
      <c r="D22" s="912"/>
      <c r="E22" s="912">
        <v>0</v>
      </c>
      <c r="F22" s="1758"/>
      <c r="G22" s="912">
        <v>0</v>
      </c>
      <c r="H22" s="912"/>
      <c r="I22" s="597">
        <v>707830</v>
      </c>
      <c r="J22" s="912"/>
      <c r="K22" s="597">
        <v>754013</v>
      </c>
      <c r="L22" s="1758" t="s">
        <v>103</v>
      </c>
      <c r="M22" s="912">
        <f>ROUND(SUM(C22)-SUM(K22)+SUM(G22),0)</f>
        <v>4798343</v>
      </c>
      <c r="O22" s="1195"/>
      <c r="Q22" s="597">
        <v>61773</v>
      </c>
      <c r="R22" s="912"/>
      <c r="S22" s="597">
        <v>153300</v>
      </c>
    </row>
    <row r="23" spans="1:19">
      <c r="A23" s="269" t="s">
        <v>838</v>
      </c>
      <c r="C23" s="912">
        <v>27048223</v>
      </c>
      <c r="D23" s="912"/>
      <c r="E23" s="912">
        <v>0</v>
      </c>
      <c r="F23" s="1758"/>
      <c r="G23" s="912">
        <v>0</v>
      </c>
      <c r="H23" s="912"/>
      <c r="I23" s="597">
        <v>961183</v>
      </c>
      <c r="J23" s="912"/>
      <c r="K23" s="597">
        <v>961183</v>
      </c>
      <c r="L23" s="1758" t="s">
        <v>103</v>
      </c>
      <c r="M23" s="912">
        <f>ROUND(SUM(C23)-SUM(K23)+SUM(G23),0)</f>
        <v>26087040</v>
      </c>
      <c r="O23" s="1195"/>
      <c r="Q23" s="597">
        <v>59208</v>
      </c>
      <c r="R23" s="912"/>
      <c r="S23" s="597">
        <v>484807</v>
      </c>
    </row>
    <row r="24" spans="1:19">
      <c r="C24" s="912"/>
      <c r="D24" s="912"/>
      <c r="E24" s="912"/>
      <c r="F24" s="1758"/>
      <c r="G24" s="912"/>
      <c r="H24" s="912"/>
      <c r="I24" s="912" t="s">
        <v>103</v>
      </c>
      <c r="J24" s="912"/>
      <c r="K24" s="912" t="s">
        <v>103</v>
      </c>
      <c r="L24" s="1758"/>
      <c r="M24" s="912"/>
      <c r="O24" s="1195"/>
      <c r="Q24" s="912" t="s">
        <v>103</v>
      </c>
      <c r="R24" s="912"/>
      <c r="S24" s="912" t="s">
        <v>103</v>
      </c>
    </row>
    <row r="25" spans="1:19">
      <c r="A25" s="269" t="s">
        <v>839</v>
      </c>
      <c r="C25" s="912" t="s">
        <v>103</v>
      </c>
      <c r="D25" s="912"/>
      <c r="E25" s="912" t="s">
        <v>103</v>
      </c>
      <c r="F25" s="912"/>
      <c r="G25" s="912" t="s">
        <v>103</v>
      </c>
      <c r="H25" s="912"/>
      <c r="I25" s="912" t="s">
        <v>103</v>
      </c>
      <c r="J25" s="912"/>
      <c r="K25" s="912" t="s">
        <v>103</v>
      </c>
      <c r="L25" s="912"/>
      <c r="M25" s="912" t="s">
        <v>103</v>
      </c>
      <c r="N25" s="597"/>
      <c r="O25" s="1759"/>
      <c r="P25" s="597"/>
      <c r="Q25" s="912" t="s">
        <v>103</v>
      </c>
      <c r="R25" s="912"/>
      <c r="S25" s="912" t="s">
        <v>103</v>
      </c>
    </row>
    <row r="26" spans="1:19">
      <c r="A26" s="269" t="s">
        <v>840</v>
      </c>
      <c r="C26" s="912">
        <v>0</v>
      </c>
      <c r="D26" s="912"/>
      <c r="E26" s="912">
        <v>0</v>
      </c>
      <c r="F26" s="912"/>
      <c r="G26" s="912">
        <v>0</v>
      </c>
      <c r="H26" s="912"/>
      <c r="I26" s="912">
        <v>0</v>
      </c>
      <c r="J26" s="912"/>
      <c r="K26" s="912">
        <v>0</v>
      </c>
      <c r="L26" s="912"/>
      <c r="M26" s="912">
        <v>0</v>
      </c>
      <c r="N26" s="597"/>
      <c r="O26" s="1759"/>
      <c r="P26" s="597"/>
      <c r="Q26" s="912">
        <v>0</v>
      </c>
      <c r="R26" s="912"/>
      <c r="S26" s="912">
        <v>0</v>
      </c>
    </row>
    <row r="27" spans="1:19">
      <c r="A27" s="269" t="s">
        <v>841</v>
      </c>
      <c r="C27" s="912">
        <v>0</v>
      </c>
      <c r="D27" s="912"/>
      <c r="E27" s="912">
        <v>0</v>
      </c>
      <c r="F27" s="912"/>
      <c r="G27" s="912">
        <v>0</v>
      </c>
      <c r="H27" s="912"/>
      <c r="I27" s="912">
        <v>0</v>
      </c>
      <c r="J27" s="912"/>
      <c r="K27" s="912">
        <v>0</v>
      </c>
      <c r="L27" s="912"/>
      <c r="M27" s="912">
        <v>0</v>
      </c>
      <c r="N27" s="597"/>
      <c r="O27" s="1759"/>
      <c r="P27" s="597"/>
      <c r="Q27" s="912">
        <v>0</v>
      </c>
      <c r="R27" s="912"/>
      <c r="S27" s="912">
        <v>0</v>
      </c>
    </row>
    <row r="28" spans="1:19">
      <c r="A28" s="269" t="s">
        <v>842</v>
      </c>
      <c r="C28" s="912">
        <v>0</v>
      </c>
      <c r="D28" s="912"/>
      <c r="E28" s="912">
        <v>0</v>
      </c>
      <c r="F28" s="912"/>
      <c r="G28" s="912">
        <v>0</v>
      </c>
      <c r="H28" s="912"/>
      <c r="I28" s="912">
        <v>0</v>
      </c>
      <c r="J28" s="912"/>
      <c r="K28" s="912">
        <v>0</v>
      </c>
      <c r="L28" s="912"/>
      <c r="M28" s="912">
        <v>0</v>
      </c>
      <c r="N28" s="597"/>
      <c r="O28" s="1759"/>
      <c r="P28" s="597"/>
      <c r="Q28" s="912">
        <v>0</v>
      </c>
      <c r="R28" s="912"/>
      <c r="S28" s="912">
        <v>0</v>
      </c>
    </row>
    <row r="29" spans="1:19">
      <c r="A29" s="269" t="s">
        <v>843</v>
      </c>
      <c r="C29" s="912">
        <v>0</v>
      </c>
      <c r="D29" s="912"/>
      <c r="E29" s="912">
        <v>0</v>
      </c>
      <c r="F29" s="912"/>
      <c r="G29" s="912">
        <v>0</v>
      </c>
      <c r="H29" s="912"/>
      <c r="I29" s="912">
        <v>0</v>
      </c>
      <c r="J29" s="912"/>
      <c r="K29" s="912">
        <v>0</v>
      </c>
      <c r="L29" s="912"/>
      <c r="M29" s="912">
        <v>0</v>
      </c>
      <c r="N29" s="597"/>
      <c r="O29" s="1759"/>
      <c r="P29" s="597"/>
      <c r="Q29" s="912">
        <v>0</v>
      </c>
      <c r="R29" s="912"/>
      <c r="S29" s="912">
        <v>0</v>
      </c>
    </row>
    <row r="30" spans="1:19">
      <c r="A30" s="269" t="s">
        <v>844</v>
      </c>
      <c r="C30" s="912">
        <v>0</v>
      </c>
      <c r="D30" s="912"/>
      <c r="E30" s="912">
        <v>0</v>
      </c>
      <c r="F30" s="912"/>
      <c r="G30" s="912">
        <v>0</v>
      </c>
      <c r="H30" s="912"/>
      <c r="I30" s="912">
        <v>0</v>
      </c>
      <c r="J30" s="912"/>
      <c r="K30" s="912">
        <v>0</v>
      </c>
      <c r="L30" s="912"/>
      <c r="M30" s="912">
        <v>0</v>
      </c>
      <c r="N30" s="597"/>
      <c r="O30" s="1759"/>
      <c r="P30" s="597"/>
      <c r="Q30" s="912">
        <v>0</v>
      </c>
      <c r="R30" s="912"/>
      <c r="S30" s="912">
        <v>0</v>
      </c>
    </row>
    <row r="31" spans="1:19">
      <c r="C31" s="912"/>
      <c r="D31" s="912"/>
      <c r="E31" s="912"/>
      <c r="F31" s="1758"/>
      <c r="G31" s="912"/>
      <c r="H31" s="912"/>
      <c r="I31" s="912" t="s">
        <v>103</v>
      </c>
      <c r="J31" s="912"/>
      <c r="K31" s="912" t="s">
        <v>103</v>
      </c>
      <c r="L31" s="1758"/>
      <c r="M31" s="912"/>
      <c r="O31" s="1195"/>
      <c r="Q31" s="912" t="s">
        <v>103</v>
      </c>
      <c r="R31" s="912"/>
      <c r="S31" s="912" t="s">
        <v>103</v>
      </c>
    </row>
    <row r="32" spans="1:19">
      <c r="A32" s="269" t="s">
        <v>845</v>
      </c>
      <c r="C32" s="912"/>
      <c r="D32" s="912"/>
      <c r="E32" s="597"/>
      <c r="F32" s="352"/>
      <c r="G32" s="597"/>
      <c r="H32" s="597"/>
      <c r="I32" s="912" t="s">
        <v>103</v>
      </c>
      <c r="J32" s="597"/>
      <c r="K32" s="912" t="s">
        <v>103</v>
      </c>
      <c r="L32" s="352"/>
      <c r="M32" s="912" t="s">
        <v>103</v>
      </c>
      <c r="O32" s="1195"/>
      <c r="Q32" s="912" t="s">
        <v>103</v>
      </c>
      <c r="R32" s="597"/>
      <c r="S32" s="912" t="s">
        <v>103</v>
      </c>
    </row>
    <row r="33" spans="1:19">
      <c r="A33" s="269" t="s">
        <v>846</v>
      </c>
      <c r="C33" s="912">
        <v>331484</v>
      </c>
      <c r="D33" s="912"/>
      <c r="E33" s="912">
        <v>0</v>
      </c>
      <c r="F33" s="1758"/>
      <c r="G33" s="912">
        <v>0</v>
      </c>
      <c r="H33" s="912"/>
      <c r="I33" s="597">
        <v>0</v>
      </c>
      <c r="J33" s="912"/>
      <c r="K33" s="597">
        <v>35012</v>
      </c>
      <c r="L33" s="1758"/>
      <c r="M33" s="912">
        <f>ROUND(SUM(C33)-SUM(K33)+SUM(G33),0)</f>
        <v>296472</v>
      </c>
      <c r="O33" s="1195"/>
      <c r="Q33" s="597">
        <v>0</v>
      </c>
      <c r="R33" s="912"/>
      <c r="S33" s="597">
        <v>9691</v>
      </c>
    </row>
    <row r="34" spans="1:19">
      <c r="C34" s="912"/>
      <c r="D34" s="912"/>
      <c r="E34" s="597"/>
      <c r="F34" s="352"/>
      <c r="G34" s="597"/>
      <c r="H34" s="597"/>
      <c r="I34" s="912" t="s">
        <v>103</v>
      </c>
      <c r="J34" s="597"/>
      <c r="K34" s="912" t="s">
        <v>103</v>
      </c>
      <c r="L34" s="352"/>
      <c r="M34" s="912" t="s">
        <v>103</v>
      </c>
      <c r="O34" s="1195"/>
      <c r="Q34" s="912" t="s">
        <v>103</v>
      </c>
      <c r="R34" s="597"/>
      <c r="S34" s="912" t="s">
        <v>103</v>
      </c>
    </row>
    <row r="35" spans="1:19">
      <c r="A35" s="269" t="s">
        <v>847</v>
      </c>
      <c r="C35" s="912"/>
      <c r="D35" s="912"/>
      <c r="E35" s="597"/>
      <c r="F35" s="352"/>
      <c r="G35" s="597"/>
      <c r="H35" s="597"/>
      <c r="I35" s="912" t="s">
        <v>103</v>
      </c>
      <c r="J35" s="597"/>
      <c r="K35" s="912" t="s">
        <v>103</v>
      </c>
      <c r="L35" s="352"/>
      <c r="M35" s="912" t="s">
        <v>103</v>
      </c>
      <c r="O35" s="1195"/>
      <c r="Q35" s="912" t="s">
        <v>103</v>
      </c>
      <c r="R35" s="597"/>
      <c r="S35" s="912" t="s">
        <v>103</v>
      </c>
    </row>
    <row r="36" spans="1:19">
      <c r="A36" s="269" t="s">
        <v>848</v>
      </c>
      <c r="C36" s="912">
        <v>0</v>
      </c>
      <c r="D36" s="912"/>
      <c r="E36" s="912">
        <v>0</v>
      </c>
      <c r="F36" s="1758"/>
      <c r="G36" s="912">
        <v>0</v>
      </c>
      <c r="H36" s="912"/>
      <c r="I36" s="597">
        <v>0</v>
      </c>
      <c r="J36" s="912"/>
      <c r="K36" s="597">
        <v>0</v>
      </c>
      <c r="L36" s="1758"/>
      <c r="M36" s="912">
        <f>ROUND(SUM(C36)-SUM(K36)+SUM(G36),0)</f>
        <v>0</v>
      </c>
      <c r="O36" s="1195"/>
      <c r="Q36" s="597">
        <v>0</v>
      </c>
      <c r="R36" s="912"/>
      <c r="S36" s="597">
        <v>0</v>
      </c>
    </row>
    <row r="37" spans="1:19">
      <c r="A37" s="269" t="s">
        <v>849</v>
      </c>
      <c r="C37" s="912">
        <v>2204392</v>
      </c>
      <c r="D37" s="912"/>
      <c r="E37" s="912">
        <v>0</v>
      </c>
      <c r="F37" s="1758"/>
      <c r="G37" s="912">
        <v>0</v>
      </c>
      <c r="H37" s="912"/>
      <c r="I37" s="597">
        <v>46724</v>
      </c>
      <c r="J37" s="912" t="s">
        <v>103</v>
      </c>
      <c r="K37" s="597">
        <v>46724</v>
      </c>
      <c r="L37" s="1758"/>
      <c r="M37" s="912">
        <f>ROUND(SUM(C37)-SUM(K37)+SUM(G37),0)</f>
        <v>2157668</v>
      </c>
      <c r="O37" s="1195"/>
      <c r="Q37" s="597">
        <v>3244</v>
      </c>
      <c r="R37" s="912" t="s">
        <v>103</v>
      </c>
      <c r="S37" s="597">
        <v>56799</v>
      </c>
    </row>
    <row r="38" spans="1:19">
      <c r="A38" s="269" t="s">
        <v>850</v>
      </c>
      <c r="C38" s="912">
        <v>3971764</v>
      </c>
      <c r="D38" s="912"/>
      <c r="E38" s="912">
        <v>0</v>
      </c>
      <c r="F38" s="1758"/>
      <c r="G38" s="912">
        <v>0</v>
      </c>
      <c r="H38" s="912"/>
      <c r="I38" s="597">
        <v>84641</v>
      </c>
      <c r="J38" s="912"/>
      <c r="K38" s="597">
        <v>84641</v>
      </c>
      <c r="L38" s="1758"/>
      <c r="M38" s="912">
        <f>ROUND(SUM(C38)-SUM(K38)+SUM(G38),0)</f>
        <v>3887123</v>
      </c>
      <c r="O38" s="1195"/>
      <c r="Q38" s="597">
        <v>26279</v>
      </c>
      <c r="R38" s="912"/>
      <c r="S38" s="597">
        <v>100084</v>
      </c>
    </row>
    <row r="39" spans="1:19">
      <c r="C39" s="912"/>
      <c r="D39" s="912"/>
      <c r="E39" s="597"/>
      <c r="F39" s="352"/>
      <c r="G39" s="597"/>
      <c r="H39" s="597"/>
      <c r="I39" s="912" t="s">
        <v>103</v>
      </c>
      <c r="J39" s="597"/>
      <c r="K39" s="912" t="s">
        <v>103</v>
      </c>
      <c r="L39" s="352"/>
      <c r="M39" s="912" t="s">
        <v>103</v>
      </c>
      <c r="O39" s="1195"/>
      <c r="Q39" s="912" t="s">
        <v>103</v>
      </c>
      <c r="R39" s="597"/>
      <c r="S39" s="912" t="s">
        <v>103</v>
      </c>
    </row>
    <row r="40" spans="1:19">
      <c r="A40" s="269" t="s">
        <v>851</v>
      </c>
      <c r="C40" s="912"/>
      <c r="D40" s="912"/>
      <c r="E40" s="597"/>
      <c r="F40" s="352"/>
      <c r="G40" s="597"/>
      <c r="H40" s="597"/>
      <c r="I40" s="912" t="s">
        <v>103</v>
      </c>
      <c r="J40" s="597"/>
      <c r="K40" s="912" t="s">
        <v>103</v>
      </c>
      <c r="L40" s="352"/>
      <c r="M40" s="912" t="s">
        <v>103</v>
      </c>
      <c r="O40" s="1195"/>
      <c r="Q40" s="912" t="s">
        <v>103</v>
      </c>
      <c r="R40" s="597"/>
      <c r="S40" s="912" t="s">
        <v>103</v>
      </c>
    </row>
    <row r="41" spans="1:19">
      <c r="A41" s="269" t="s">
        <v>852</v>
      </c>
      <c r="C41" s="912">
        <v>1465404</v>
      </c>
      <c r="D41" s="912"/>
      <c r="E41" s="912">
        <v>0</v>
      </c>
      <c r="F41" s="1758"/>
      <c r="G41" s="912">
        <v>0</v>
      </c>
      <c r="H41" s="912"/>
      <c r="I41" s="597">
        <v>140507</v>
      </c>
      <c r="J41" s="912"/>
      <c r="K41" s="597">
        <v>211576</v>
      </c>
      <c r="L41" s="1758" t="s">
        <v>103</v>
      </c>
      <c r="M41" s="912">
        <f>ROUND(SUM(C41)-SUM(K41)+SUM(G41),0)</f>
        <v>1253828</v>
      </c>
      <c r="O41" s="1195"/>
      <c r="Q41" s="597">
        <v>5611</v>
      </c>
      <c r="R41" s="912"/>
      <c r="S41" s="597">
        <v>29300</v>
      </c>
    </row>
    <row r="42" spans="1:19">
      <c r="A42" s="269" t="s">
        <v>853</v>
      </c>
      <c r="C42" s="912">
        <v>39918356</v>
      </c>
      <c r="D42" s="912"/>
      <c r="E42" s="912">
        <v>0</v>
      </c>
      <c r="F42" s="1758"/>
      <c r="G42" s="912">
        <v>0</v>
      </c>
      <c r="H42" s="912"/>
      <c r="I42" s="597">
        <v>5673007</v>
      </c>
      <c r="J42" s="912"/>
      <c r="K42" s="597">
        <v>11003141</v>
      </c>
      <c r="L42" s="1758"/>
      <c r="M42" s="912">
        <f>ROUND(SUM(C42)-SUM(K42)+SUM(G42),0)</f>
        <v>28915215</v>
      </c>
      <c r="O42" s="1195"/>
      <c r="Q42" s="597">
        <v>199632</v>
      </c>
      <c r="R42" s="912"/>
      <c r="S42" s="597">
        <v>830814</v>
      </c>
    </row>
    <row r="43" spans="1:19">
      <c r="C43" s="912"/>
      <c r="D43" s="912"/>
      <c r="E43" s="597"/>
      <c r="F43" s="352"/>
      <c r="G43" s="597"/>
      <c r="H43" s="597"/>
      <c r="I43" s="912" t="s">
        <v>103</v>
      </c>
      <c r="J43" s="597"/>
      <c r="K43" s="912" t="s">
        <v>103</v>
      </c>
      <c r="L43" s="352"/>
      <c r="M43" s="912" t="s">
        <v>103</v>
      </c>
      <c r="O43" s="1195"/>
      <c r="Q43" s="912" t="s">
        <v>103</v>
      </c>
      <c r="R43" s="597"/>
      <c r="S43" s="912" t="s">
        <v>103</v>
      </c>
    </row>
    <row r="44" spans="1:19">
      <c r="A44" s="269" t="s">
        <v>854</v>
      </c>
      <c r="C44" s="912"/>
      <c r="D44" s="912"/>
      <c r="E44" s="597"/>
      <c r="F44" s="352"/>
      <c r="G44" s="597"/>
      <c r="H44" s="597"/>
      <c r="I44" s="912" t="s">
        <v>103</v>
      </c>
      <c r="J44" s="597"/>
      <c r="K44" s="912" t="s">
        <v>103</v>
      </c>
      <c r="L44" s="352"/>
      <c r="M44" s="912" t="s">
        <v>103</v>
      </c>
      <c r="O44" s="1195"/>
      <c r="Q44" s="912" t="s">
        <v>103</v>
      </c>
      <c r="R44" s="597"/>
      <c r="S44" s="912" t="s">
        <v>103</v>
      </c>
    </row>
    <row r="45" spans="1:19">
      <c r="A45" s="269" t="s">
        <v>855</v>
      </c>
      <c r="C45" s="912">
        <v>0</v>
      </c>
      <c r="D45" s="912"/>
      <c r="E45" s="912">
        <v>0</v>
      </c>
      <c r="F45" s="1758"/>
      <c r="G45" s="912">
        <v>0</v>
      </c>
      <c r="H45" s="912"/>
      <c r="I45" s="597">
        <v>0</v>
      </c>
      <c r="J45" s="912"/>
      <c r="K45" s="597">
        <v>0</v>
      </c>
      <c r="L45" s="1758"/>
      <c r="M45" s="912">
        <f>ROUND(SUM(C45)-SUM(K45)+SUM(G45),0)</f>
        <v>0</v>
      </c>
      <c r="O45" s="1195"/>
      <c r="Q45" s="597">
        <v>0</v>
      </c>
      <c r="R45" s="912"/>
      <c r="S45" s="597">
        <v>0</v>
      </c>
    </row>
    <row r="46" spans="1:19">
      <c r="A46" s="269" t="s">
        <v>856</v>
      </c>
      <c r="C46" s="912">
        <v>0</v>
      </c>
      <c r="D46" s="912"/>
      <c r="E46" s="912">
        <v>0</v>
      </c>
      <c r="F46" s="1758"/>
      <c r="G46" s="912">
        <v>0</v>
      </c>
      <c r="H46" s="912"/>
      <c r="I46" s="597">
        <v>0</v>
      </c>
      <c r="J46" s="912"/>
      <c r="K46" s="597">
        <v>0</v>
      </c>
      <c r="L46" s="1758"/>
      <c r="M46" s="912">
        <f>ROUND(SUM(C46)-SUM(K46)+SUM(G46),0)</f>
        <v>0</v>
      </c>
      <c r="O46" s="1195"/>
      <c r="Q46" s="597">
        <v>0</v>
      </c>
      <c r="R46" s="912"/>
      <c r="S46" s="597">
        <v>0</v>
      </c>
    </row>
    <row r="47" spans="1:19">
      <c r="C47" s="912"/>
      <c r="D47" s="912"/>
      <c r="E47" s="597"/>
      <c r="F47" s="352"/>
      <c r="G47" s="597"/>
      <c r="H47" s="597"/>
      <c r="I47" s="912" t="s">
        <v>103</v>
      </c>
      <c r="J47" s="597"/>
      <c r="K47" s="912" t="s">
        <v>103</v>
      </c>
      <c r="L47" s="352"/>
      <c r="M47" s="912" t="s">
        <v>103</v>
      </c>
      <c r="O47" s="1195"/>
      <c r="Q47" s="912" t="s">
        <v>103</v>
      </c>
      <c r="R47" s="597"/>
      <c r="S47" s="912" t="s">
        <v>103</v>
      </c>
    </row>
    <row r="48" spans="1:19">
      <c r="A48" s="269" t="s">
        <v>857</v>
      </c>
      <c r="C48" s="912">
        <v>0</v>
      </c>
      <c r="D48" s="912"/>
      <c r="E48" s="912">
        <v>0</v>
      </c>
      <c r="F48" s="1758"/>
      <c r="G48" s="912">
        <v>0</v>
      </c>
      <c r="H48" s="912"/>
      <c r="I48" s="597">
        <v>0</v>
      </c>
      <c r="J48" s="912"/>
      <c r="K48" s="597">
        <v>0</v>
      </c>
      <c r="L48" s="1758"/>
      <c r="M48" s="912">
        <f>ROUND(SUM(C48)-SUM(K48)+SUM(G48),0)</f>
        <v>0</v>
      </c>
      <c r="O48" s="1195"/>
      <c r="Q48" s="597">
        <v>0</v>
      </c>
      <c r="R48" s="912"/>
      <c r="S48" s="597">
        <v>0</v>
      </c>
    </row>
    <row r="49" spans="1:19">
      <c r="C49" s="912"/>
      <c r="D49" s="912"/>
      <c r="E49" s="912"/>
      <c r="F49" s="1758"/>
      <c r="G49" s="912"/>
      <c r="H49" s="912"/>
      <c r="I49" s="912" t="s">
        <v>103</v>
      </c>
      <c r="J49" s="912"/>
      <c r="K49" s="912" t="s">
        <v>103</v>
      </c>
      <c r="L49" s="1758"/>
      <c r="M49" s="912" t="s">
        <v>103</v>
      </c>
      <c r="O49" s="1195"/>
      <c r="Q49" s="912" t="s">
        <v>103</v>
      </c>
      <c r="R49" s="912"/>
      <c r="S49" s="912" t="s">
        <v>103</v>
      </c>
    </row>
    <row r="50" spans="1:19">
      <c r="A50" s="269" t="s">
        <v>858</v>
      </c>
      <c r="C50" s="912">
        <v>13992307</v>
      </c>
      <c r="D50" s="912"/>
      <c r="E50" s="912">
        <v>0</v>
      </c>
      <c r="F50" s="1758"/>
      <c r="G50" s="912">
        <v>0</v>
      </c>
      <c r="H50" s="912"/>
      <c r="I50" s="597">
        <v>305278</v>
      </c>
      <c r="J50" s="912"/>
      <c r="K50" s="597">
        <v>502464</v>
      </c>
      <c r="L50" s="1758"/>
      <c r="M50" s="912">
        <f>ROUND(SUM(C50)-SUM(K50)+SUM(G50),0)</f>
        <v>13489843</v>
      </c>
      <c r="O50" s="1195"/>
      <c r="Q50" s="597">
        <v>81504</v>
      </c>
      <c r="R50" s="912"/>
      <c r="S50" s="597">
        <v>386020</v>
      </c>
    </row>
    <row r="51" spans="1:19">
      <c r="C51" s="912"/>
      <c r="D51" s="912"/>
      <c r="E51" s="912"/>
      <c r="F51" s="1758"/>
      <c r="G51" s="912"/>
      <c r="H51" s="912"/>
      <c r="I51" s="912" t="s">
        <v>103</v>
      </c>
      <c r="J51" s="912"/>
      <c r="K51" s="912" t="s">
        <v>103</v>
      </c>
      <c r="L51" s="1758"/>
      <c r="M51" s="912" t="s">
        <v>103</v>
      </c>
      <c r="O51" s="1195"/>
      <c r="Q51" s="912" t="s">
        <v>103</v>
      </c>
      <c r="R51" s="912"/>
      <c r="S51" s="912" t="s">
        <v>103</v>
      </c>
    </row>
    <row r="52" spans="1:19">
      <c r="A52" s="269" t="s">
        <v>859</v>
      </c>
      <c r="C52" s="912">
        <v>0</v>
      </c>
      <c r="D52" s="912"/>
      <c r="E52" s="912">
        <v>0</v>
      </c>
      <c r="F52" s="1758"/>
      <c r="G52" s="912">
        <v>0</v>
      </c>
      <c r="H52" s="912"/>
      <c r="I52" s="597">
        <v>0</v>
      </c>
      <c r="J52" s="912"/>
      <c r="K52" s="597">
        <v>0</v>
      </c>
      <c r="L52" s="1758"/>
      <c r="M52" s="912">
        <f>ROUND(SUM(C52)-SUM(K52)+SUM(G52),0)</f>
        <v>0</v>
      </c>
      <c r="O52" s="1195"/>
      <c r="Q52" s="597">
        <v>0</v>
      </c>
      <c r="R52" s="912"/>
      <c r="S52" s="597">
        <v>0</v>
      </c>
    </row>
    <row r="53" spans="1:19">
      <c r="C53" s="912"/>
      <c r="D53" s="912"/>
      <c r="E53" s="912"/>
      <c r="F53" s="1758"/>
      <c r="G53" s="912"/>
      <c r="H53" s="912"/>
      <c r="I53" s="912" t="s">
        <v>103</v>
      </c>
      <c r="J53" s="912"/>
      <c r="K53" s="912" t="s">
        <v>103</v>
      </c>
      <c r="L53" s="1758"/>
      <c r="M53" s="912" t="s">
        <v>103</v>
      </c>
      <c r="O53" s="1195"/>
      <c r="Q53" s="912" t="s">
        <v>103</v>
      </c>
      <c r="R53" s="912"/>
      <c r="S53" s="912" t="s">
        <v>103</v>
      </c>
    </row>
    <row r="54" spans="1:19">
      <c r="A54" s="269" t="s">
        <v>860</v>
      </c>
      <c r="C54" s="912"/>
      <c r="D54" s="912"/>
      <c r="E54" s="1197"/>
      <c r="F54" s="1760"/>
      <c r="G54" s="1197"/>
      <c r="H54" s="1197"/>
      <c r="I54" s="912" t="s">
        <v>103</v>
      </c>
      <c r="J54" s="1197"/>
      <c r="K54" s="912" t="s">
        <v>103</v>
      </c>
      <c r="L54" s="1760"/>
      <c r="M54" s="912" t="s">
        <v>103</v>
      </c>
      <c r="O54" s="1195"/>
      <c r="Q54" s="912" t="s">
        <v>103</v>
      </c>
      <c r="R54" s="1197"/>
      <c r="S54" s="912" t="s">
        <v>103</v>
      </c>
    </row>
    <row r="55" spans="1:19">
      <c r="A55" s="269" t="s">
        <v>861</v>
      </c>
      <c r="C55" s="912">
        <v>411556396</v>
      </c>
      <c r="D55" s="912"/>
      <c r="E55" s="912">
        <v>0</v>
      </c>
      <c r="F55" s="1760"/>
      <c r="G55" s="912">
        <v>0</v>
      </c>
      <c r="H55" s="1197"/>
      <c r="I55" s="597">
        <v>29791349</v>
      </c>
      <c r="J55" s="1197"/>
      <c r="K55" s="597">
        <v>29791349</v>
      </c>
      <c r="L55" s="1760" t="s">
        <v>103</v>
      </c>
      <c r="M55" s="912">
        <f t="shared" ref="M55:M60" si="0">ROUND(SUM(C55)-SUM(K55)+SUM(G55),0)</f>
        <v>381765047</v>
      </c>
      <c r="O55" s="1195"/>
      <c r="Q55" s="597">
        <v>2272164</v>
      </c>
      <c r="R55" s="1197"/>
      <c r="S55" s="597">
        <v>8605772</v>
      </c>
    </row>
    <row r="56" spans="1:19">
      <c r="A56" s="269" t="s">
        <v>862</v>
      </c>
      <c r="C56" s="912">
        <v>3095343</v>
      </c>
      <c r="D56" s="912"/>
      <c r="E56" s="912">
        <v>0</v>
      </c>
      <c r="F56" s="1760"/>
      <c r="G56" s="912">
        <v>0</v>
      </c>
      <c r="H56" s="1197"/>
      <c r="I56" s="597">
        <v>562546</v>
      </c>
      <c r="J56" s="1197" t="s">
        <v>103</v>
      </c>
      <c r="K56" s="597">
        <v>562546</v>
      </c>
      <c r="L56" s="1760"/>
      <c r="M56" s="912">
        <f t="shared" si="0"/>
        <v>2532797</v>
      </c>
      <c r="O56" s="1195"/>
      <c r="Q56" s="597">
        <v>37613</v>
      </c>
      <c r="R56" s="1197" t="s">
        <v>103</v>
      </c>
      <c r="S56" s="597">
        <v>93670</v>
      </c>
    </row>
    <row r="57" spans="1:19">
      <c r="A57" s="269" t="s">
        <v>863</v>
      </c>
      <c r="C57" s="912">
        <v>35700358</v>
      </c>
      <c r="D57" s="912"/>
      <c r="E57" s="912">
        <v>0</v>
      </c>
      <c r="F57" s="1760"/>
      <c r="G57" s="912">
        <v>0</v>
      </c>
      <c r="H57" s="1197"/>
      <c r="I57" s="597">
        <v>1337714</v>
      </c>
      <c r="J57" s="1197"/>
      <c r="K57" s="597">
        <v>1337714</v>
      </c>
      <c r="L57" s="1760"/>
      <c r="M57" s="912">
        <f t="shared" si="0"/>
        <v>34362644</v>
      </c>
      <c r="O57" s="1195"/>
      <c r="Q57" s="597">
        <v>351862</v>
      </c>
      <c r="R57" s="1197"/>
      <c r="S57" s="597">
        <v>870327</v>
      </c>
    </row>
    <row r="58" spans="1:19">
      <c r="A58" s="269" t="s">
        <v>864</v>
      </c>
      <c r="C58" s="912">
        <v>73213386</v>
      </c>
      <c r="D58" s="912"/>
      <c r="E58" s="912">
        <v>0</v>
      </c>
      <c r="F58" s="1760"/>
      <c r="G58" s="912">
        <v>0</v>
      </c>
      <c r="H58" s="1197"/>
      <c r="I58" s="597">
        <v>5297141</v>
      </c>
      <c r="J58" s="1197"/>
      <c r="K58" s="597">
        <v>5297141</v>
      </c>
      <c r="L58" s="1760"/>
      <c r="M58" s="912">
        <f t="shared" si="0"/>
        <v>67916245</v>
      </c>
      <c r="O58" s="1195"/>
      <c r="Q58" s="597">
        <v>876430</v>
      </c>
      <c r="R58" s="1197"/>
      <c r="S58" s="597">
        <v>1974291</v>
      </c>
    </row>
    <row r="59" spans="1:19">
      <c r="A59" s="269" t="s">
        <v>865</v>
      </c>
      <c r="C59" s="912">
        <v>8617236</v>
      </c>
      <c r="D59" s="912"/>
      <c r="E59" s="912">
        <v>0</v>
      </c>
      <c r="F59" s="1760"/>
      <c r="G59" s="912">
        <v>0</v>
      </c>
      <c r="H59" s="1197"/>
      <c r="I59" s="597">
        <v>325649</v>
      </c>
      <c r="J59" s="1197"/>
      <c r="K59" s="597">
        <v>325649</v>
      </c>
      <c r="L59" s="1760"/>
      <c r="M59" s="912">
        <f t="shared" si="0"/>
        <v>8291587</v>
      </c>
      <c r="O59" s="1195"/>
      <c r="Q59" s="597">
        <v>24319</v>
      </c>
      <c r="R59" s="1197"/>
      <c r="S59" s="597">
        <v>204714</v>
      </c>
    </row>
    <row r="60" spans="1:19">
      <c r="A60" s="269" t="s">
        <v>866</v>
      </c>
      <c r="C60" s="912">
        <v>869575895</v>
      </c>
      <c r="D60" s="912"/>
      <c r="E60" s="912">
        <v>0</v>
      </c>
      <c r="F60" s="1758"/>
      <c r="G60" s="912">
        <v>0</v>
      </c>
      <c r="H60" s="912"/>
      <c r="I60" s="597">
        <v>18210000</v>
      </c>
      <c r="J60" s="912" t="s">
        <v>103</v>
      </c>
      <c r="K60" s="597">
        <v>28370000</v>
      </c>
      <c r="L60" s="1758"/>
      <c r="M60" s="912">
        <f t="shared" si="0"/>
        <v>841205895</v>
      </c>
      <c r="O60" s="1195"/>
      <c r="Q60" s="597">
        <v>4781831</v>
      </c>
      <c r="R60" s="912" t="s">
        <v>103</v>
      </c>
      <c r="S60" s="597">
        <v>20792631</v>
      </c>
    </row>
    <row r="61" spans="1:19">
      <c r="C61" s="912"/>
      <c r="D61" s="912"/>
      <c r="E61" s="912"/>
      <c r="F61" s="1758"/>
      <c r="G61" s="912"/>
      <c r="H61" s="912"/>
      <c r="I61" s="912" t="s">
        <v>103</v>
      </c>
      <c r="J61" s="912"/>
      <c r="K61" s="912" t="s">
        <v>103</v>
      </c>
      <c r="L61" s="1758"/>
      <c r="M61" s="912" t="s">
        <v>103</v>
      </c>
      <c r="O61" s="1195"/>
      <c r="Q61" s="912" t="s">
        <v>103</v>
      </c>
      <c r="R61" s="912"/>
      <c r="S61" s="912" t="s">
        <v>103</v>
      </c>
    </row>
    <row r="62" spans="1:19">
      <c r="A62" s="269" t="s">
        <v>867</v>
      </c>
      <c r="C62" s="912"/>
      <c r="D62" s="912"/>
      <c r="E62" s="912"/>
      <c r="F62" s="1758"/>
      <c r="G62" s="912"/>
      <c r="H62" s="912"/>
      <c r="I62" s="912" t="s">
        <v>103</v>
      </c>
      <c r="J62" s="912"/>
      <c r="K62" s="912" t="s">
        <v>103</v>
      </c>
      <c r="L62" s="1758"/>
      <c r="M62" s="912" t="s">
        <v>103</v>
      </c>
      <c r="O62" s="1195"/>
      <c r="Q62" s="912" t="s">
        <v>103</v>
      </c>
      <c r="R62" s="912"/>
      <c r="S62" s="912" t="s">
        <v>103</v>
      </c>
    </row>
    <row r="63" spans="1:19">
      <c r="A63" s="269" t="s">
        <v>868</v>
      </c>
      <c r="C63" s="912">
        <v>3187</v>
      </c>
      <c r="D63" s="912"/>
      <c r="E63" s="912">
        <v>0</v>
      </c>
      <c r="F63" s="1758"/>
      <c r="G63" s="912">
        <v>0</v>
      </c>
      <c r="H63" s="912"/>
      <c r="I63" s="597">
        <v>0</v>
      </c>
      <c r="J63" s="912"/>
      <c r="K63" s="597">
        <v>0</v>
      </c>
      <c r="L63" s="1758"/>
      <c r="M63" s="912">
        <f>ROUND(SUM(C63)-SUM(K63)+SUM(G63),0)</f>
        <v>3187</v>
      </c>
      <c r="O63" s="1195"/>
      <c r="Q63" s="597">
        <v>0</v>
      </c>
      <c r="R63" s="912"/>
      <c r="S63" s="597">
        <v>80</v>
      </c>
    </row>
    <row r="64" spans="1:19">
      <c r="A64" s="385" t="s">
        <v>869</v>
      </c>
      <c r="C64" s="912">
        <v>414817</v>
      </c>
      <c r="D64" s="912"/>
      <c r="E64" s="912">
        <v>0</v>
      </c>
      <c r="F64" s="1758"/>
      <c r="G64" s="912">
        <v>0</v>
      </c>
      <c r="H64" s="912"/>
      <c r="I64" s="597">
        <v>0</v>
      </c>
      <c r="J64" s="912"/>
      <c r="K64" s="597">
        <v>144269</v>
      </c>
      <c r="L64" s="1758"/>
      <c r="M64" s="912">
        <f>ROUND(SUM(C64)-SUM(K64)+SUM(G64),0)</f>
        <v>270548</v>
      </c>
      <c r="O64" s="1195"/>
      <c r="Q64" s="597">
        <v>0</v>
      </c>
      <c r="R64" s="912"/>
      <c r="S64" s="597">
        <v>13746</v>
      </c>
    </row>
    <row r="65" spans="1:19" ht="13.5" customHeight="1">
      <c r="C65" s="912"/>
      <c r="D65" s="912"/>
      <c r="E65" s="912"/>
      <c r="F65" s="1758"/>
      <c r="G65" s="912"/>
      <c r="H65" s="912"/>
      <c r="I65" s="912" t="s">
        <v>103</v>
      </c>
      <c r="J65" s="912"/>
      <c r="K65" s="912" t="s">
        <v>103</v>
      </c>
      <c r="L65" s="1758"/>
      <c r="M65" s="912" t="s">
        <v>103</v>
      </c>
      <c r="O65" s="1195"/>
      <c r="Q65" s="912" t="s">
        <v>103</v>
      </c>
      <c r="R65" s="912"/>
      <c r="S65" s="912" t="s">
        <v>103</v>
      </c>
    </row>
    <row r="66" spans="1:19">
      <c r="A66" s="269" t="s">
        <v>870</v>
      </c>
      <c r="C66" s="912">
        <v>414592531</v>
      </c>
      <c r="D66" s="912"/>
      <c r="E66" s="912">
        <v>0</v>
      </c>
      <c r="F66" s="1758"/>
      <c r="G66" s="912">
        <v>0</v>
      </c>
      <c r="H66" s="912"/>
      <c r="I66" s="597">
        <v>12042539</v>
      </c>
      <c r="J66" s="912"/>
      <c r="K66" s="597">
        <v>12042539</v>
      </c>
      <c r="L66" s="1758"/>
      <c r="M66" s="912">
        <f>ROUND(SUM(C66)-SUM(K66)+SUM(G66),0)</f>
        <v>402549992</v>
      </c>
      <c r="O66" s="1195"/>
      <c r="Q66" s="597">
        <v>948916</v>
      </c>
      <c r="R66" s="912"/>
      <c r="S66" s="597">
        <v>10422434</v>
      </c>
    </row>
    <row r="67" spans="1:19" ht="13.5" customHeight="1">
      <c r="C67" s="912"/>
      <c r="D67" s="912"/>
      <c r="E67" s="912"/>
      <c r="F67" s="1758"/>
      <c r="G67" s="912"/>
      <c r="H67" s="912"/>
      <c r="I67" s="912" t="s">
        <v>103</v>
      </c>
      <c r="J67" s="912"/>
      <c r="K67" s="912" t="s">
        <v>103</v>
      </c>
      <c r="L67" s="1758"/>
      <c r="M67" s="912" t="s">
        <v>103</v>
      </c>
      <c r="O67" s="1195"/>
      <c r="Q67" s="912" t="s">
        <v>103</v>
      </c>
      <c r="R67" s="912"/>
      <c r="S67" s="912" t="s">
        <v>103</v>
      </c>
    </row>
    <row r="68" spans="1:19">
      <c r="A68" s="269" t="s">
        <v>871</v>
      </c>
      <c r="C68" s="912"/>
      <c r="D68" s="912"/>
      <c r="E68" s="912"/>
      <c r="F68" s="1758"/>
      <c r="G68" s="912"/>
      <c r="H68" s="912"/>
      <c r="I68" s="912" t="s">
        <v>103</v>
      </c>
      <c r="J68" s="912"/>
      <c r="K68" s="912" t="s">
        <v>103</v>
      </c>
      <c r="L68" s="1758"/>
      <c r="M68" s="912" t="s">
        <v>103</v>
      </c>
      <c r="O68" s="1195"/>
      <c r="Q68" s="912" t="s">
        <v>103</v>
      </c>
      <c r="R68" s="912"/>
      <c r="S68" s="912" t="s">
        <v>103</v>
      </c>
    </row>
    <row r="69" spans="1:19">
      <c r="A69" s="269" t="s">
        <v>863</v>
      </c>
      <c r="C69" s="912">
        <v>147599</v>
      </c>
      <c r="D69" s="912"/>
      <c r="E69" s="912">
        <v>0</v>
      </c>
      <c r="F69" s="1758"/>
      <c r="G69" s="912">
        <v>0</v>
      </c>
      <c r="H69" s="912"/>
      <c r="I69" s="597">
        <v>0</v>
      </c>
      <c r="J69" s="912"/>
      <c r="K69" s="597">
        <v>107372</v>
      </c>
      <c r="L69" s="1758"/>
      <c r="M69" s="912">
        <f>ROUND(SUM(C69)-SUM(K69)+SUM(G69),0)</f>
        <v>40227</v>
      </c>
      <c r="O69" s="1195"/>
      <c r="Q69" s="597">
        <v>0</v>
      </c>
      <c r="R69" s="912"/>
      <c r="S69" s="597">
        <v>3589</v>
      </c>
    </row>
    <row r="70" spans="1:19">
      <c r="A70" s="269" t="s">
        <v>872</v>
      </c>
      <c r="C70" s="912">
        <v>0</v>
      </c>
      <c r="D70" s="912"/>
      <c r="E70" s="912">
        <v>0</v>
      </c>
      <c r="F70" s="1758"/>
      <c r="G70" s="912">
        <v>0</v>
      </c>
      <c r="H70" s="912"/>
      <c r="I70" s="597">
        <v>0</v>
      </c>
      <c r="J70" s="912"/>
      <c r="K70" s="597">
        <v>0</v>
      </c>
      <c r="L70" s="1758"/>
      <c r="M70" s="912">
        <f>ROUND(SUM(C70)-SUM(K70)+SUM(G70),0)</f>
        <v>0</v>
      </c>
      <c r="O70" s="1195"/>
      <c r="Q70" s="597">
        <v>0</v>
      </c>
      <c r="R70" s="912"/>
      <c r="S70" s="597">
        <v>0</v>
      </c>
    </row>
    <row r="71" spans="1:19">
      <c r="E71" s="1198"/>
      <c r="F71" s="1756"/>
      <c r="G71" s="1198"/>
      <c r="H71" s="1198"/>
      <c r="I71" s="1198"/>
      <c r="J71" s="1198"/>
      <c r="K71" s="1198"/>
      <c r="L71" s="1198"/>
      <c r="M71" s="1198"/>
      <c r="O71" s="1195"/>
      <c r="Q71" s="1761"/>
      <c r="S71" s="1194"/>
    </row>
    <row r="72" spans="1:19" ht="15" customHeight="1" thickBot="1">
      <c r="A72" s="271" t="s">
        <v>873</v>
      </c>
      <c r="B72" s="580"/>
      <c r="C72" s="913">
        <f>ROUND(SUM(C16:C70),2)</f>
        <v>2127725000</v>
      </c>
      <c r="D72" s="1308"/>
      <c r="E72" s="913">
        <f>ROUND(SUM(E16:E71),2)</f>
        <v>0</v>
      </c>
      <c r="F72" s="1762"/>
      <c r="G72" s="913">
        <f>ROUND(SUM(G16:G70),2)</f>
        <v>0</v>
      </c>
      <c r="H72" s="580"/>
      <c r="I72" s="913">
        <f>ROUND(SUM(I16:I70),2)</f>
        <v>85865000</v>
      </c>
      <c r="J72" s="580"/>
      <c r="K72" s="913">
        <f>ROUND(SUM(K16:K70),0)</f>
        <v>106655000</v>
      </c>
      <c r="L72" s="580"/>
      <c r="M72" s="913">
        <f>ROUND(SUM(M16:M70),2)</f>
        <v>2021070000</v>
      </c>
      <c r="N72" s="271"/>
      <c r="O72" s="1763"/>
      <c r="P72" s="580"/>
      <c r="Q72" s="913">
        <f>ROUND(SUM(Q16:Q70),2)</f>
        <v>11050355</v>
      </c>
      <c r="R72" s="580"/>
      <c r="S72" s="913">
        <f>ROUND(SUM(S16:S70),0)</f>
        <v>50025848</v>
      </c>
    </row>
    <row r="73" spans="1:19" ht="15" customHeight="1" thickTop="1">
      <c r="A73" s="581"/>
      <c r="B73" s="582"/>
      <c r="C73" s="368"/>
      <c r="D73" s="368"/>
      <c r="E73" s="1765"/>
      <c r="F73" s="1764"/>
      <c r="G73" s="1765"/>
      <c r="H73" s="582"/>
      <c r="I73" s="1764"/>
      <c r="J73" s="582"/>
      <c r="K73" s="1766"/>
      <c r="L73" s="582"/>
      <c r="M73" s="368"/>
      <c r="N73" s="271"/>
      <c r="O73" s="271"/>
      <c r="P73" s="582"/>
      <c r="Q73" s="1767"/>
      <c r="R73" s="582"/>
      <c r="S73" s="1764"/>
    </row>
    <row r="74" spans="1:19">
      <c r="A74" s="965" t="s">
        <v>103</v>
      </c>
      <c r="I74" s="269"/>
      <c r="K74" s="1196" t="s">
        <v>103</v>
      </c>
      <c r="P74" s="316"/>
    </row>
    <row r="75" spans="1:19">
      <c r="A75" s="316" t="s">
        <v>103</v>
      </c>
      <c r="H75" s="1768"/>
      <c r="I75" s="1196"/>
      <c r="J75" s="1768"/>
      <c r="K75" s="1196" t="s">
        <v>103</v>
      </c>
      <c r="L75" s="315"/>
      <c r="M75" s="352" t="s">
        <v>103</v>
      </c>
      <c r="P75" s="315"/>
      <c r="Q75" s="571"/>
      <c r="R75" s="1756"/>
      <c r="S75" s="571"/>
    </row>
    <row r="76" spans="1:19">
      <c r="A76" s="273"/>
      <c r="C76" s="352" t="s">
        <v>103</v>
      </c>
      <c r="E76" s="1769"/>
      <c r="G76" s="1199"/>
      <c r="I76" s="1757"/>
      <c r="K76" s="1757" t="s">
        <v>103</v>
      </c>
      <c r="Q76" s="1756"/>
      <c r="S76" s="1756"/>
    </row>
    <row r="77" spans="1:19">
      <c r="C77" s="352" t="s">
        <v>103</v>
      </c>
      <c r="K77" s="1770"/>
      <c r="Q77" s="316"/>
    </row>
    <row r="78" spans="1:19">
      <c r="C78" s="352" t="s">
        <v>103</v>
      </c>
      <c r="E78" s="1771"/>
      <c r="F78" s="1756"/>
      <c r="G78" s="1771"/>
      <c r="I78" s="1757"/>
      <c r="K78" s="1757" t="s">
        <v>103</v>
      </c>
      <c r="M78" s="1772"/>
      <c r="Q78" s="1773"/>
      <c r="S78" s="1756"/>
    </row>
    <row r="79" spans="1:19">
      <c r="C79" s="352" t="s">
        <v>103</v>
      </c>
      <c r="E79" s="1771"/>
      <c r="F79" s="1756"/>
      <c r="G79" s="315"/>
      <c r="I79" s="1757"/>
      <c r="K79" s="1757"/>
      <c r="M79" s="1774"/>
      <c r="Q79" s="315"/>
      <c r="S79" s="1756"/>
    </row>
    <row r="80" spans="1:19">
      <c r="E80" s="1771"/>
      <c r="F80" s="1756"/>
      <c r="G80" s="1756"/>
      <c r="I80" s="1757"/>
      <c r="K80" s="1757"/>
      <c r="Q80" s="1775"/>
      <c r="S80" s="1756"/>
    </row>
    <row r="81" spans="1:19">
      <c r="E81" s="1771"/>
      <c r="F81" s="1756"/>
      <c r="G81" s="1771"/>
      <c r="I81" s="1757"/>
      <c r="K81" s="1757"/>
      <c r="M81" s="1772"/>
      <c r="Q81" s="1773"/>
      <c r="S81" s="1756"/>
    </row>
    <row r="82" spans="1:19">
      <c r="E82" s="1771"/>
      <c r="F82" s="1756"/>
      <c r="G82" s="1771"/>
      <c r="I82" s="1757"/>
      <c r="K82" s="1757"/>
      <c r="M82" s="1772"/>
      <c r="Q82" s="1773"/>
      <c r="S82" s="1756"/>
    </row>
    <row r="83" spans="1:19">
      <c r="E83" s="1771"/>
      <c r="F83" s="1756"/>
      <c r="G83" s="315"/>
      <c r="I83" s="1757"/>
      <c r="K83" s="1757"/>
      <c r="M83" s="1774"/>
      <c r="Q83" s="315"/>
      <c r="S83" s="1756"/>
    </row>
    <row r="84" spans="1:19">
      <c r="E84" s="1771"/>
      <c r="F84" s="1756"/>
      <c r="G84" s="1756"/>
      <c r="I84" s="1757"/>
      <c r="K84" s="1757"/>
      <c r="Q84" s="1775"/>
      <c r="S84" s="1756"/>
    </row>
    <row r="85" spans="1:19">
      <c r="E85" s="1771"/>
      <c r="F85" s="1756"/>
      <c r="G85" s="1771"/>
      <c r="I85" s="1757"/>
      <c r="K85" s="1757"/>
      <c r="M85" s="1772"/>
      <c r="Q85" s="1773"/>
      <c r="S85" s="1756"/>
    </row>
    <row r="86" spans="1:19" ht="13">
      <c r="C86" s="368"/>
      <c r="D86" s="368"/>
      <c r="E86" s="1765"/>
      <c r="F86" s="272"/>
      <c r="G86" s="1765"/>
      <c r="H86" s="271"/>
      <c r="I86" s="1776"/>
      <c r="J86" s="271"/>
      <c r="K86" s="1776"/>
      <c r="L86" s="271"/>
      <c r="M86" s="1777"/>
      <c r="N86" s="271"/>
      <c r="O86" s="271"/>
      <c r="P86" s="271"/>
      <c r="Q86" s="1765"/>
      <c r="R86" s="271"/>
      <c r="S86" s="272"/>
    </row>
    <row r="87" spans="1:19" ht="13">
      <c r="A87" s="271"/>
      <c r="C87" s="368"/>
      <c r="D87" s="368"/>
      <c r="E87" s="272"/>
      <c r="F87" s="272"/>
      <c r="G87" s="272"/>
      <c r="H87" s="271"/>
      <c r="I87" s="1776"/>
      <c r="J87" s="271"/>
      <c r="K87" s="1776"/>
      <c r="L87" s="271"/>
      <c r="M87" s="368"/>
      <c r="N87" s="271"/>
      <c r="O87" s="271"/>
      <c r="P87" s="271"/>
      <c r="Q87" s="272"/>
      <c r="R87" s="271"/>
      <c r="S87" s="272"/>
    </row>
    <row r="88" spans="1:19" ht="13">
      <c r="A88" s="271"/>
    </row>
    <row r="89" spans="1:19">
      <c r="C89" s="915"/>
      <c r="D89" s="915"/>
      <c r="F89" s="316"/>
    </row>
    <row r="90" spans="1:19">
      <c r="C90" s="916"/>
      <c r="D90" s="916"/>
      <c r="F90" s="273"/>
    </row>
    <row r="91" spans="1:19">
      <c r="E91" s="1200"/>
      <c r="G91" s="1201"/>
    </row>
    <row r="92" spans="1:19">
      <c r="E92" s="1202"/>
      <c r="G92" s="1199"/>
    </row>
  </sheetData>
  <mergeCells count="1">
    <mergeCell ref="E9:G9"/>
  </mergeCells>
  <printOptions horizontalCentered="1"/>
  <pageMargins left="0.5" right="0.5" top="0.5" bottom="0.25" header="0.3" footer="0.3"/>
  <pageSetup scale="55" firstPageNumber="45" orientation="landscape" useFirstPageNumber="1" r:id="rId1"/>
  <headerFooter scaleWithDoc="0" alignWithMargins="0">
    <oddFooter>&amp;C&amp;8&amp;P</oddFooter>
  </headerFooter>
  <rowBreaks count="1" manualBreakCount="1">
    <brk id="2" max="21" man="1"/>
  </row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38"/>
  <sheetViews>
    <sheetView showGridLines="0" zoomScale="80" workbookViewId="0"/>
  </sheetViews>
  <sheetFormatPr defaultColWidth="8.69140625" defaultRowHeight="15.5"/>
  <cols>
    <col min="1" max="1" width="3.69140625" style="584" customWidth="1"/>
    <col min="2" max="2" width="43.69140625" style="584" customWidth="1"/>
    <col min="3" max="3" width="2.07421875" style="584" customWidth="1"/>
    <col min="4" max="4" width="16.69140625" style="584" customWidth="1"/>
    <col min="5" max="5" width="2.07421875" style="584" customWidth="1"/>
    <col min="6" max="6" width="16.69140625" style="584" customWidth="1"/>
    <col min="7" max="7" width="2.07421875" style="584" customWidth="1"/>
    <col min="8" max="8" width="16.69140625" style="584" customWidth="1"/>
    <col min="9" max="9" width="2.07421875" style="584" customWidth="1"/>
    <col min="10" max="10" width="16.69140625" style="584" customWidth="1"/>
    <col min="11" max="11" width="2.07421875" style="584" customWidth="1"/>
    <col min="12" max="12" width="16.69140625" style="584" customWidth="1"/>
    <col min="13" max="13" width="2.07421875" style="584" customWidth="1"/>
    <col min="14" max="14" width="16.69140625" style="584" customWidth="1"/>
    <col min="15" max="15" width="2.07421875" style="584" customWidth="1"/>
    <col min="16" max="16" width="16.69140625" style="584" customWidth="1"/>
    <col min="17" max="17" width="2.07421875" style="584" customWidth="1"/>
    <col min="18" max="18" width="16.69140625" style="584" customWidth="1"/>
    <col min="19" max="19" width="17.07421875" style="584" customWidth="1"/>
    <col min="20" max="20" width="18.53515625" style="584" customWidth="1"/>
    <col min="21" max="21" width="35.07421875" style="584" bestFit="1" customWidth="1"/>
    <col min="22" max="16384" width="8.69140625" style="584"/>
  </cols>
  <sheetData>
    <row r="1" spans="1:19">
      <c r="B1" s="397" t="s">
        <v>97</v>
      </c>
    </row>
    <row r="2" spans="1:19">
      <c r="B2" s="1671"/>
      <c r="C2" s="1671"/>
      <c r="D2" s="1671"/>
      <c r="E2" s="1671"/>
      <c r="F2" s="1671"/>
      <c r="G2" s="1671"/>
      <c r="H2" s="1671"/>
      <c r="I2" s="1671"/>
      <c r="J2" s="1671"/>
      <c r="K2" s="1671"/>
      <c r="L2" s="1671"/>
      <c r="M2" s="1671"/>
      <c r="N2" s="1671"/>
      <c r="O2" s="1671"/>
      <c r="P2" s="1671"/>
      <c r="Q2" s="1671"/>
      <c r="R2" s="1671"/>
      <c r="S2" s="1671"/>
    </row>
    <row r="3" spans="1:19">
      <c r="A3" s="583"/>
      <c r="B3" s="1672" t="s">
        <v>98</v>
      </c>
      <c r="C3" s="1672"/>
      <c r="D3" s="1672"/>
      <c r="E3" s="1672"/>
      <c r="F3" s="1671"/>
      <c r="G3" s="1671"/>
      <c r="H3" s="1671"/>
      <c r="I3" s="1671"/>
      <c r="J3" s="1671"/>
      <c r="K3" s="1671"/>
      <c r="L3" s="1671"/>
      <c r="M3" s="1671"/>
      <c r="N3" s="1671"/>
      <c r="O3" s="1671"/>
      <c r="P3" s="1671"/>
      <c r="Q3" s="1671"/>
      <c r="R3" s="1673" t="s">
        <v>874</v>
      </c>
      <c r="S3" s="1674"/>
    </row>
    <row r="4" spans="1:19">
      <c r="A4" s="583"/>
      <c r="B4" s="1672" t="s">
        <v>875</v>
      </c>
      <c r="C4" s="1672"/>
      <c r="D4" s="1672"/>
      <c r="E4" s="1672"/>
      <c r="F4" s="1671"/>
      <c r="G4" s="1671"/>
      <c r="H4" s="1671"/>
      <c r="I4" s="1671"/>
      <c r="J4" s="1671"/>
      <c r="K4" s="1671"/>
      <c r="L4" s="1671"/>
      <c r="M4" s="1671"/>
      <c r="N4" s="1671"/>
      <c r="O4" s="1671"/>
      <c r="P4" s="1671"/>
      <c r="Q4" s="1671"/>
      <c r="R4" s="1671"/>
      <c r="S4" s="1671"/>
    </row>
    <row r="5" spans="1:19">
      <c r="A5" s="583"/>
      <c r="B5" s="1672" t="s">
        <v>1515</v>
      </c>
      <c r="C5" s="1672"/>
      <c r="D5" s="1672"/>
      <c r="E5" s="1672"/>
      <c r="F5" s="1671" t="s">
        <v>103</v>
      </c>
      <c r="G5" s="1671"/>
      <c r="H5" s="1671"/>
      <c r="I5" s="1671"/>
      <c r="J5" s="1671"/>
      <c r="K5" s="1671"/>
      <c r="L5" s="1671"/>
      <c r="M5" s="1671"/>
      <c r="N5" s="1671"/>
      <c r="O5" s="1671"/>
      <c r="P5" s="1671"/>
      <c r="Q5" s="1671"/>
      <c r="R5" s="1671"/>
      <c r="S5" s="1671"/>
    </row>
    <row r="6" spans="1:19">
      <c r="A6" s="583"/>
      <c r="B6" s="1675" t="str">
        <f>'Exh D Governmental  '!A6</f>
        <v>FOR ELEVEN MONTHS ENDED FEBRUARY 28, 2025</v>
      </c>
      <c r="C6" s="1675"/>
      <c r="D6" s="1672"/>
      <c r="E6" s="1672"/>
      <c r="F6" s="1671"/>
      <c r="G6" s="1671"/>
      <c r="H6" s="1671"/>
      <c r="I6" s="1671"/>
      <c r="J6" s="1671"/>
      <c r="K6" s="1671"/>
      <c r="L6" s="1671"/>
      <c r="M6" s="1671"/>
      <c r="N6" s="1671"/>
      <c r="O6" s="1671"/>
      <c r="P6" s="1671"/>
      <c r="Q6" s="1671"/>
      <c r="R6" s="1671"/>
      <c r="S6" s="1671"/>
    </row>
    <row r="7" spans="1:19">
      <c r="A7" s="583"/>
      <c r="B7" s="1676"/>
      <c r="C7" s="1676"/>
      <c r="D7" s="1672"/>
      <c r="E7" s="1672"/>
      <c r="F7" s="1671"/>
      <c r="G7" s="1671"/>
      <c r="H7" s="1671"/>
      <c r="I7" s="1671"/>
      <c r="J7" s="1671"/>
      <c r="K7" s="1671"/>
      <c r="L7" s="1671"/>
      <c r="M7" s="1671"/>
      <c r="N7" s="1671"/>
      <c r="O7" s="1671"/>
      <c r="P7" s="1671"/>
      <c r="Q7" s="1671"/>
      <c r="R7" s="1671"/>
      <c r="S7" s="1671"/>
    </row>
    <row r="8" spans="1:19" ht="5.25" customHeight="1">
      <c r="B8" s="1677"/>
      <c r="C8" s="1677"/>
      <c r="D8" s="1671"/>
      <c r="E8" s="1671"/>
      <c r="F8" s="1671"/>
      <c r="G8" s="1671"/>
      <c r="H8" s="1671"/>
      <c r="I8" s="1671"/>
      <c r="J8" s="1671"/>
      <c r="K8" s="1671"/>
      <c r="L8" s="1671"/>
      <c r="M8" s="1671"/>
      <c r="N8" s="1671"/>
      <c r="O8" s="1671"/>
      <c r="P8" s="1671"/>
      <c r="Q8" s="1671"/>
      <c r="R8" s="1671"/>
      <c r="S8" s="1671"/>
    </row>
    <row r="9" spans="1:19">
      <c r="B9" s="1671"/>
      <c r="C9" s="1671"/>
      <c r="E9" s="1678"/>
      <c r="F9" s="1678"/>
      <c r="G9" s="1678"/>
      <c r="H9" s="1678"/>
      <c r="I9" s="1678"/>
      <c r="J9" s="1678"/>
      <c r="K9" s="1678"/>
      <c r="L9" s="1678"/>
      <c r="M9" s="1678"/>
      <c r="N9" s="1671"/>
      <c r="O9" s="1671"/>
      <c r="P9" s="1671"/>
      <c r="Q9" s="1671"/>
      <c r="R9" s="1671"/>
      <c r="S9" s="1671"/>
    </row>
    <row r="10" spans="1:19">
      <c r="B10" s="1671"/>
      <c r="C10" s="1671"/>
      <c r="D10" s="1678" t="s">
        <v>827</v>
      </c>
      <c r="E10" s="1679"/>
      <c r="F10" s="1679" t="s">
        <v>876</v>
      </c>
      <c r="G10" s="1679"/>
      <c r="H10" s="1679" t="s">
        <v>877</v>
      </c>
      <c r="I10" s="1679"/>
      <c r="J10" s="1679" t="s">
        <v>878</v>
      </c>
      <c r="K10" s="1679"/>
      <c r="L10" s="1679" t="s">
        <v>879</v>
      </c>
      <c r="M10" s="1679"/>
      <c r="N10" s="1671"/>
      <c r="O10" s="1671"/>
      <c r="P10" s="1671"/>
      <c r="Q10" s="1671"/>
      <c r="R10" s="1671"/>
      <c r="S10" s="1671"/>
    </row>
    <row r="11" spans="1:19">
      <c r="B11" s="1671"/>
      <c r="C11" s="1671"/>
      <c r="D11" s="1679" t="s">
        <v>880</v>
      </c>
      <c r="E11" s="1679"/>
      <c r="F11" s="1679" t="s">
        <v>827</v>
      </c>
      <c r="G11" s="1679"/>
      <c r="H11" s="1679" t="s">
        <v>881</v>
      </c>
      <c r="I11" s="1679"/>
      <c r="J11" s="1680" t="s">
        <v>882</v>
      </c>
      <c r="K11" s="1679"/>
      <c r="L11" s="1679" t="s">
        <v>883</v>
      </c>
      <c r="M11" s="1679"/>
      <c r="N11" s="1681" t="s">
        <v>884</v>
      </c>
      <c r="O11" s="1681"/>
      <c r="P11" s="1681"/>
      <c r="Q11" s="1671"/>
      <c r="R11" s="1671"/>
      <c r="S11" s="1671"/>
    </row>
    <row r="12" spans="1:19">
      <c r="B12" s="1671"/>
      <c r="C12" s="1671"/>
      <c r="D12" s="1679" t="s">
        <v>885</v>
      </c>
      <c r="E12" s="1679"/>
      <c r="F12" s="1679" t="s">
        <v>886</v>
      </c>
      <c r="G12" s="1679"/>
      <c r="H12" s="1679" t="s">
        <v>887</v>
      </c>
      <c r="I12" s="1679"/>
      <c r="J12" s="1680" t="s">
        <v>888</v>
      </c>
      <c r="K12" s="1680"/>
      <c r="L12" s="1679" t="s">
        <v>889</v>
      </c>
      <c r="M12" s="1679"/>
      <c r="N12" s="1682" t="str">
        <f>UPPER('Cashflow Governmental'!$AB$12)</f>
        <v>11 MONTHS ENDED FEBRUARY 28</v>
      </c>
      <c r="O12" s="1682"/>
      <c r="P12" s="1682"/>
      <c r="Q12" s="1671"/>
      <c r="R12" s="1678" t="s">
        <v>890</v>
      </c>
      <c r="S12" s="1679"/>
    </row>
    <row r="13" spans="1:19">
      <c r="A13" s="583"/>
      <c r="B13" s="1683" t="s">
        <v>1516</v>
      </c>
      <c r="C13" s="1672"/>
      <c r="D13" s="1684" t="s">
        <v>891</v>
      </c>
      <c r="E13" s="1679"/>
      <c r="F13" s="1684" t="s">
        <v>892</v>
      </c>
      <c r="G13" s="1679"/>
      <c r="H13" s="1685" t="s">
        <v>893</v>
      </c>
      <c r="I13" s="1679"/>
      <c r="J13" s="1686" t="s">
        <v>894</v>
      </c>
      <c r="K13" s="1679"/>
      <c r="L13" s="1686" t="s">
        <v>895</v>
      </c>
      <c r="M13" s="1679"/>
      <c r="N13" s="1687" t="str">
        <f>'Cashflow Governmental'!$AB$14</f>
        <v>2025</v>
      </c>
      <c r="O13" s="1687"/>
      <c r="P13" s="1687" t="str">
        <f>'Cashflow Governmental'!$AE$14</f>
        <v>2024</v>
      </c>
      <c r="Q13" s="1679"/>
      <c r="R13" s="1688" t="s">
        <v>896</v>
      </c>
      <c r="S13" s="1679"/>
    </row>
    <row r="14" spans="1:19">
      <c r="B14" s="1672" t="s">
        <v>897</v>
      </c>
      <c r="C14" s="1672"/>
      <c r="D14" s="1689"/>
      <c r="E14" s="1689"/>
      <c r="F14" s="1690"/>
      <c r="G14" s="1690"/>
      <c r="H14" s="1691"/>
      <c r="I14" s="1691"/>
      <c r="J14" s="1689"/>
      <c r="K14" s="1689"/>
      <c r="L14" s="1689"/>
      <c r="M14" s="1689"/>
      <c r="N14" s="1691"/>
      <c r="O14" s="1691"/>
      <c r="P14" s="1692"/>
      <c r="Q14" s="1692"/>
      <c r="R14" s="1671"/>
      <c r="S14" s="1671"/>
    </row>
    <row r="15" spans="1:19">
      <c r="A15" s="1693"/>
      <c r="B15" s="1677" t="s">
        <v>898</v>
      </c>
      <c r="C15" s="1677"/>
      <c r="D15" s="1694">
        <v>0</v>
      </c>
      <c r="E15" s="1694"/>
      <c r="F15" s="1694">
        <v>9788122</v>
      </c>
      <c r="G15" s="1694"/>
      <c r="H15" s="1694">
        <v>0</v>
      </c>
      <c r="I15" s="1694"/>
      <c r="J15" s="1694">
        <v>0</v>
      </c>
      <c r="K15" s="1694"/>
      <c r="L15" s="1694">
        <v>0</v>
      </c>
      <c r="M15" s="1694"/>
      <c r="N15" s="1694">
        <f>ROUND(SUM(D15:M15),0)</f>
        <v>9788122</v>
      </c>
      <c r="O15" s="1694"/>
      <c r="P15" s="1694">
        <v>12576481</v>
      </c>
      <c r="Q15" s="1694"/>
      <c r="R15" s="1695">
        <f>ROUND(N15-P15,0)</f>
        <v>-2788359</v>
      </c>
      <c r="S15" s="1694"/>
    </row>
    <row r="16" spans="1:19">
      <c r="A16" s="1693"/>
      <c r="B16" s="1671" t="s">
        <v>899</v>
      </c>
      <c r="C16" s="1671"/>
      <c r="D16" s="1755"/>
      <c r="E16" s="1755"/>
      <c r="F16" s="1755"/>
      <c r="G16" s="1755"/>
      <c r="H16" s="1755"/>
      <c r="I16" s="1755"/>
      <c r="J16" s="1755"/>
      <c r="K16" s="1696"/>
      <c r="L16" s="1755"/>
      <c r="M16" s="1696"/>
      <c r="N16" s="1696"/>
      <c r="O16" s="1696"/>
      <c r="P16" s="2059"/>
      <c r="Q16" s="1696"/>
      <c r="R16" s="1697"/>
      <c r="S16" s="1694"/>
    </row>
    <row r="17" spans="1:21">
      <c r="A17" s="1693"/>
      <c r="B17" s="1671" t="s">
        <v>900</v>
      </c>
      <c r="C17" s="1671"/>
      <c r="D17" s="1755">
        <v>0</v>
      </c>
      <c r="E17" s="1755"/>
      <c r="F17" s="1755">
        <v>0</v>
      </c>
      <c r="G17" s="1755"/>
      <c r="H17" s="1755">
        <v>0</v>
      </c>
      <c r="I17" s="1755"/>
      <c r="J17" s="1755">
        <v>118167970</v>
      </c>
      <c r="K17" s="1755"/>
      <c r="L17" s="1755">
        <v>8525400</v>
      </c>
      <c r="M17" s="1755"/>
      <c r="N17" s="1696">
        <f t="shared" ref="N17:N21" si="0">ROUND(SUM(D17:M17),0)</f>
        <v>126693370</v>
      </c>
      <c r="O17" s="1696"/>
      <c r="P17" s="1696">
        <v>462627388</v>
      </c>
      <c r="Q17" s="1698"/>
      <c r="R17" s="1698">
        <f t="shared" ref="R17:R21" si="1">SUM(N17-P17,0)</f>
        <v>-335934018</v>
      </c>
      <c r="S17" s="1694"/>
    </row>
    <row r="18" spans="1:21">
      <c r="A18" s="1693"/>
      <c r="B18" s="1671" t="s">
        <v>901</v>
      </c>
      <c r="C18" s="1671"/>
      <c r="D18" s="1755">
        <v>0</v>
      </c>
      <c r="E18" s="1755"/>
      <c r="F18" s="1755">
        <v>0</v>
      </c>
      <c r="G18" s="1755"/>
      <c r="H18" s="1755">
        <v>17782353</v>
      </c>
      <c r="I18" s="1755"/>
      <c r="J18" s="1755">
        <v>0</v>
      </c>
      <c r="K18" s="1755"/>
      <c r="L18" s="1755">
        <v>0</v>
      </c>
      <c r="M18" s="1755"/>
      <c r="N18" s="1696">
        <f t="shared" si="0"/>
        <v>17782353</v>
      </c>
      <c r="O18" s="1696"/>
      <c r="P18" s="1696">
        <v>20653053</v>
      </c>
      <c r="Q18" s="1698"/>
      <c r="R18" s="1698">
        <f t="shared" si="1"/>
        <v>-2870700</v>
      </c>
      <c r="S18" s="1694"/>
    </row>
    <row r="19" spans="1:21">
      <c r="A19" s="1693"/>
      <c r="B19" s="1671" t="s">
        <v>902</v>
      </c>
      <c r="C19" s="1671"/>
      <c r="D19" s="1755">
        <v>0</v>
      </c>
      <c r="E19" s="1755"/>
      <c r="F19" s="1755">
        <v>0</v>
      </c>
      <c r="G19" s="1755"/>
      <c r="H19" s="1755">
        <v>0</v>
      </c>
      <c r="I19" s="1755"/>
      <c r="J19" s="1755">
        <v>0</v>
      </c>
      <c r="K19" s="1755"/>
      <c r="L19" s="1755">
        <v>0</v>
      </c>
      <c r="M19" s="1755"/>
      <c r="N19" s="1696">
        <f t="shared" si="0"/>
        <v>0</v>
      </c>
      <c r="O19" s="1696"/>
      <c r="P19" s="1696">
        <v>0</v>
      </c>
      <c r="Q19" s="1698"/>
      <c r="R19" s="1698">
        <f t="shared" si="1"/>
        <v>0</v>
      </c>
      <c r="S19" s="1694"/>
    </row>
    <row r="20" spans="1:21">
      <c r="A20" s="1693"/>
      <c r="B20" s="1671" t="s">
        <v>903</v>
      </c>
      <c r="C20" s="1671"/>
      <c r="D20" s="1755">
        <v>0</v>
      </c>
      <c r="E20" s="1755"/>
      <c r="F20" s="1755">
        <v>0</v>
      </c>
      <c r="G20" s="1755"/>
      <c r="H20" s="1755">
        <v>0</v>
      </c>
      <c r="I20" s="1755"/>
      <c r="J20" s="1755">
        <v>0</v>
      </c>
      <c r="K20" s="1755"/>
      <c r="L20" s="1755">
        <v>0</v>
      </c>
      <c r="M20" s="1755"/>
      <c r="N20" s="1696">
        <f t="shared" si="0"/>
        <v>0</v>
      </c>
      <c r="O20" s="1696"/>
      <c r="P20" s="1696">
        <v>0</v>
      </c>
      <c r="Q20" s="1698"/>
      <c r="R20" s="1698">
        <f t="shared" si="1"/>
        <v>0</v>
      </c>
      <c r="S20" s="1694"/>
    </row>
    <row r="21" spans="1:21">
      <c r="A21" s="1693"/>
      <c r="B21" s="1671" t="s">
        <v>904</v>
      </c>
      <c r="C21" s="1671"/>
      <c r="D21" s="1755">
        <v>0</v>
      </c>
      <c r="E21" s="1755"/>
      <c r="F21" s="1755">
        <v>15710475</v>
      </c>
      <c r="G21" s="1755"/>
      <c r="H21" s="1755">
        <v>0</v>
      </c>
      <c r="I21" s="1755"/>
      <c r="J21" s="1755">
        <v>0</v>
      </c>
      <c r="K21" s="1755"/>
      <c r="L21" s="1755">
        <v>0</v>
      </c>
      <c r="M21" s="1755"/>
      <c r="N21" s="1696">
        <f t="shared" si="0"/>
        <v>15710475</v>
      </c>
      <c r="O21" s="1696"/>
      <c r="P21" s="1696">
        <v>15729435</v>
      </c>
      <c r="Q21" s="1698"/>
      <c r="R21" s="1698">
        <f t="shared" si="1"/>
        <v>-18960</v>
      </c>
      <c r="S21" s="1694"/>
    </row>
    <row r="22" spans="1:21">
      <c r="A22" s="1693"/>
      <c r="B22" s="1671" t="s">
        <v>905</v>
      </c>
      <c r="C22" s="1671"/>
      <c r="D22" s="1755"/>
      <c r="E22" s="1755"/>
      <c r="F22" s="1755"/>
      <c r="G22" s="1696"/>
      <c r="H22" s="1755"/>
      <c r="I22" s="1755"/>
      <c r="J22" s="1755"/>
      <c r="K22" s="1696"/>
      <c r="L22" s="1755"/>
      <c r="M22" s="1696"/>
      <c r="N22" s="1696"/>
      <c r="O22" s="1696"/>
      <c r="P22" s="2060"/>
      <c r="Q22" s="1698"/>
      <c r="R22" s="1696"/>
      <c r="S22" s="1694"/>
    </row>
    <row r="23" spans="1:21" ht="17.149999999999999" customHeight="1">
      <c r="A23" s="1693"/>
      <c r="B23" s="1671" t="s">
        <v>906</v>
      </c>
      <c r="C23" s="1671"/>
      <c r="D23" s="1755">
        <v>0</v>
      </c>
      <c r="E23" s="1755"/>
      <c r="F23" s="1755">
        <v>40918030</v>
      </c>
      <c r="G23" s="1696"/>
      <c r="H23" s="1755">
        <v>0</v>
      </c>
      <c r="I23" s="1755"/>
      <c r="J23" s="1755">
        <v>0</v>
      </c>
      <c r="K23" s="1696"/>
      <c r="L23" s="1755">
        <v>0</v>
      </c>
      <c r="M23" s="1696"/>
      <c r="N23" s="1696">
        <f>ROUND(SUM(D23:M23),0)</f>
        <v>40918030</v>
      </c>
      <c r="O23" s="1696"/>
      <c r="P23" s="1696">
        <v>45486741</v>
      </c>
      <c r="Q23" s="1698"/>
      <c r="R23" s="1698">
        <f t="shared" ref="R23:R27" si="2">SUM(N23-P23,0)</f>
        <v>-4568711</v>
      </c>
      <c r="S23" s="1694"/>
    </row>
    <row r="24" spans="1:21">
      <c r="A24" s="1693"/>
      <c r="B24" s="1671" t="s">
        <v>907</v>
      </c>
      <c r="C24" s="1671"/>
      <c r="D24" s="1755">
        <v>0</v>
      </c>
      <c r="E24" s="1755"/>
      <c r="F24" s="1755">
        <v>0</v>
      </c>
      <c r="G24" s="1755"/>
      <c r="H24" s="1755">
        <v>0</v>
      </c>
      <c r="I24" s="1755"/>
      <c r="J24" s="1755">
        <v>44624008</v>
      </c>
      <c r="K24" s="1755"/>
      <c r="L24" s="1755">
        <v>0</v>
      </c>
      <c r="M24" s="1755"/>
      <c r="N24" s="1696">
        <f>ROUND(SUM(D24:M24),0)</f>
        <v>44624008</v>
      </c>
      <c r="O24" s="1696"/>
      <c r="P24" s="1696">
        <v>19791736</v>
      </c>
      <c r="Q24" s="1698"/>
      <c r="R24" s="1698">
        <f t="shared" si="2"/>
        <v>24832272</v>
      </c>
      <c r="S24" s="1694"/>
    </row>
    <row r="25" spans="1:21">
      <c r="A25" s="1693"/>
      <c r="B25" s="1671" t="s">
        <v>908</v>
      </c>
      <c r="C25" s="1671"/>
      <c r="D25" s="1755"/>
      <c r="E25" s="1755"/>
      <c r="F25" s="1755"/>
      <c r="G25" s="1755"/>
      <c r="H25" s="1755"/>
      <c r="I25" s="1755"/>
      <c r="J25" s="1755"/>
      <c r="K25" s="1755"/>
      <c r="L25" s="1755"/>
      <c r="M25" s="1755"/>
      <c r="N25" s="1696"/>
      <c r="O25" s="1696"/>
      <c r="P25" s="2060"/>
      <c r="Q25" s="1698"/>
      <c r="R25" s="1696"/>
      <c r="S25" s="1694"/>
    </row>
    <row r="26" spans="1:21">
      <c r="A26" s="1693"/>
      <c r="B26" s="1699" t="s">
        <v>909</v>
      </c>
      <c r="C26" s="1700"/>
      <c r="D26" s="1755">
        <v>0</v>
      </c>
      <c r="E26" s="1755"/>
      <c r="F26" s="1755">
        <v>0</v>
      </c>
      <c r="G26" s="1755"/>
      <c r="H26" s="1755">
        <v>0</v>
      </c>
      <c r="I26" s="1755"/>
      <c r="J26" s="1755">
        <v>0</v>
      </c>
      <c r="K26" s="1755"/>
      <c r="L26" s="1755">
        <v>0</v>
      </c>
      <c r="M26" s="1755"/>
      <c r="N26" s="1696">
        <f t="shared" ref="N26" si="3">ROUND(SUM(D26:M26),0)</f>
        <v>0</v>
      </c>
      <c r="O26" s="1696"/>
      <c r="P26" s="1696">
        <v>0</v>
      </c>
      <c r="Q26" s="1698"/>
      <c r="R26" s="1698">
        <f>SUM(N26-P26,0)</f>
        <v>0</v>
      </c>
      <c r="S26" s="1694"/>
    </row>
    <row r="27" spans="1:21">
      <c r="A27" s="583"/>
      <c r="B27" s="1671" t="s">
        <v>910</v>
      </c>
      <c r="C27" s="1671"/>
      <c r="D27" s="1755">
        <v>0</v>
      </c>
      <c r="E27" s="1755"/>
      <c r="F27" s="1755">
        <v>0</v>
      </c>
      <c r="G27" s="1755"/>
      <c r="H27" s="1755">
        <v>0</v>
      </c>
      <c r="I27" s="1755"/>
      <c r="J27" s="1755">
        <v>56747714</v>
      </c>
      <c r="K27" s="1755"/>
      <c r="L27" s="1755">
        <v>12887966</v>
      </c>
      <c r="M27" s="1755"/>
      <c r="N27" s="1696">
        <f>ROUND(SUM(D27:M27),0)</f>
        <v>69635680</v>
      </c>
      <c r="O27" s="1696"/>
      <c r="P27" s="1696">
        <v>177276987</v>
      </c>
      <c r="Q27" s="1670"/>
      <c r="R27" s="1698">
        <f t="shared" si="2"/>
        <v>-107641307</v>
      </c>
      <c r="S27" s="1694"/>
      <c r="U27" s="1701"/>
    </row>
    <row r="28" spans="1:21">
      <c r="B28" s="1672" t="s">
        <v>911</v>
      </c>
      <c r="C28" s="1672"/>
      <c r="D28" s="1671"/>
      <c r="E28" s="1671"/>
      <c r="F28" s="1671"/>
      <c r="G28" s="1671"/>
      <c r="H28" s="1692"/>
      <c r="I28" s="1692"/>
      <c r="J28" s="1692"/>
      <c r="K28" s="1692"/>
      <c r="L28" s="1692"/>
      <c r="M28" s="1692"/>
      <c r="N28" s="1692"/>
      <c r="O28" s="1692"/>
      <c r="P28" s="1692"/>
      <c r="Q28" s="1671"/>
      <c r="R28" s="1696"/>
      <c r="S28" s="1694"/>
    </row>
    <row r="29" spans="1:21" s="583" customFormat="1" ht="16" thickBot="1">
      <c r="B29" s="1702" t="s">
        <v>1517</v>
      </c>
      <c r="C29" s="1675"/>
      <c r="D29" s="1703">
        <f>ROUND(SUM(D15:D27),0)</f>
        <v>0</v>
      </c>
      <c r="E29" s="1704"/>
      <c r="F29" s="1703">
        <f>ROUND(SUM(F15:F27),0)</f>
        <v>66416627</v>
      </c>
      <c r="G29" s="1704"/>
      <c r="H29" s="1703">
        <f>ROUND(SUM(H15:H27),0)</f>
        <v>17782353</v>
      </c>
      <c r="I29" s="1704"/>
      <c r="J29" s="1703">
        <f>ROUND(SUM(J15:J27),0)</f>
        <v>219539692</v>
      </c>
      <c r="K29" s="1704"/>
      <c r="L29" s="1703">
        <f>ROUND(SUM(L15:L27),0)</f>
        <v>21413366</v>
      </c>
      <c r="M29" s="1704"/>
      <c r="N29" s="1703">
        <f>ROUND(SUM(N15:N27),0)</f>
        <v>325152038</v>
      </c>
      <c r="O29" s="1704"/>
      <c r="P29" s="1703">
        <f>ROUND(SUM(P15:P27),0)</f>
        <v>754141821</v>
      </c>
      <c r="Q29" s="1704"/>
      <c r="R29" s="1703">
        <f>ROUND(SUM(R15:R27),0)</f>
        <v>-428989783</v>
      </c>
      <c r="S29" s="1694"/>
    </row>
    <row r="30" spans="1:21" ht="16" thickTop="1">
      <c r="C30" s="1677"/>
      <c r="D30" s="1671"/>
      <c r="E30" s="1671"/>
      <c r="F30" s="1671"/>
      <c r="G30" s="1671"/>
      <c r="H30" s="1671"/>
      <c r="I30" s="1671"/>
      <c r="J30" s="1671"/>
      <c r="K30" s="1671"/>
      <c r="L30" s="1671"/>
      <c r="M30" s="1671"/>
      <c r="N30" s="1671"/>
      <c r="O30" s="1671"/>
      <c r="P30" s="1671"/>
      <c r="Q30" s="1671"/>
      <c r="R30" s="1705"/>
      <c r="S30" s="1671"/>
    </row>
    <row r="31" spans="1:21">
      <c r="B31" s="374"/>
      <c r="C31" s="1671"/>
      <c r="D31" s="1671"/>
      <c r="E31" s="1671"/>
      <c r="F31" s="1671"/>
      <c r="G31" s="1671"/>
      <c r="H31" s="1671"/>
      <c r="I31" s="1671"/>
      <c r="J31" s="1671"/>
      <c r="K31" s="1671"/>
      <c r="L31" s="1706"/>
      <c r="M31" s="1671"/>
      <c r="N31" s="1707" t="s">
        <v>103</v>
      </c>
      <c r="O31" s="1671"/>
      <c r="P31" s="1671"/>
      <c r="Q31" s="1671"/>
      <c r="R31" s="1671"/>
    </row>
    <row r="32" spans="1:21">
      <c r="N32" s="1708" t="s">
        <v>103</v>
      </c>
    </row>
    <row r="33" spans="2:14">
      <c r="N33" s="1709" t="s">
        <v>103</v>
      </c>
    </row>
    <row r="34" spans="2:14">
      <c r="N34" s="1708" t="s">
        <v>103</v>
      </c>
    </row>
    <row r="38" spans="2:14">
      <c r="B38" s="584" t="s">
        <v>103</v>
      </c>
    </row>
  </sheetData>
  <dataConsolidate/>
  <printOptions horizontalCentered="1"/>
  <pageMargins left="0.25" right="0.25" top="0.5" bottom="0.25" header="0.5" footer="0.25"/>
  <pageSetup scale="50" firstPageNumber="46"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69140625" defaultRowHeight="15.5"/>
  <cols>
    <col min="1" max="1" width="2.07421875" style="313" customWidth="1"/>
    <col min="2" max="4" width="9.69140625" style="313" customWidth="1"/>
    <col min="5" max="5" width="10.4609375" style="313" customWidth="1"/>
    <col min="6" max="6" width="14.69140625" style="313" customWidth="1"/>
    <col min="7" max="7" width="1.07421875" style="313" customWidth="1"/>
    <col min="8" max="8" width="16.69140625" style="313" customWidth="1"/>
    <col min="9" max="9" width="1.07421875" style="313" customWidth="1"/>
    <col min="10" max="10" width="16.69140625" style="313" bestFit="1" customWidth="1"/>
    <col min="11" max="11" width="9.69140625" style="313" customWidth="1"/>
    <col min="12" max="12" width="15.69140625" style="313" customWidth="1"/>
    <col min="13" max="16384" width="8.69140625" style="313"/>
  </cols>
  <sheetData>
    <row r="1" spans="2:12">
      <c r="B1" s="919" t="s">
        <v>97</v>
      </c>
    </row>
    <row r="2" spans="2:12">
      <c r="B2" s="365"/>
    </row>
    <row r="3" spans="2:12">
      <c r="B3" s="314" t="s">
        <v>98</v>
      </c>
      <c r="J3" s="440" t="s">
        <v>912</v>
      </c>
    </row>
    <row r="4" spans="2:12">
      <c r="B4" s="366" t="s">
        <v>913</v>
      </c>
    </row>
    <row r="5" spans="2:12">
      <c r="B5" s="671" t="str">
        <f>'Sch 1 '!A8</f>
        <v>FOR THE MONTH OF FEBRUARY 2025</v>
      </c>
      <c r="C5" s="672"/>
      <c r="D5" s="672"/>
      <c r="E5" s="672"/>
      <c r="F5" s="672"/>
      <c r="G5" s="672"/>
      <c r="H5" s="672"/>
      <c r="I5" s="672"/>
      <c r="J5" s="672"/>
      <c r="K5" s="672"/>
      <c r="L5" s="672"/>
    </row>
    <row r="6" spans="2:12">
      <c r="B6" s="671" t="s">
        <v>914</v>
      </c>
      <c r="C6" s="672"/>
      <c r="D6" s="672"/>
      <c r="E6" s="672"/>
      <c r="F6" s="672"/>
      <c r="G6" s="672"/>
      <c r="H6" s="672"/>
      <c r="I6" s="672"/>
      <c r="J6" s="672"/>
      <c r="K6" s="672"/>
      <c r="L6" s="672"/>
    </row>
    <row r="7" spans="2:12" ht="12.65" customHeight="1">
      <c r="B7" s="671" t="s">
        <v>102</v>
      </c>
      <c r="C7" s="673"/>
      <c r="D7" s="673"/>
      <c r="E7" s="673"/>
      <c r="F7" s="673"/>
      <c r="G7" s="673"/>
      <c r="H7" s="673"/>
      <c r="I7" s="673"/>
      <c r="J7" s="673"/>
      <c r="K7" s="673"/>
      <c r="L7" s="673"/>
    </row>
    <row r="8" spans="2:12">
      <c r="B8" s="113"/>
      <c r="G8" s="113"/>
      <c r="I8" s="113"/>
    </row>
    <row r="9" spans="2:12">
      <c r="B9" s="113"/>
      <c r="F9" s="114" t="s">
        <v>109</v>
      </c>
      <c r="G9" s="113"/>
      <c r="H9" s="115" t="s">
        <v>915</v>
      </c>
      <c r="I9" s="113"/>
      <c r="J9" s="114" t="s">
        <v>916</v>
      </c>
    </row>
    <row r="10" spans="2:12">
      <c r="B10" s="113"/>
      <c r="F10" s="115" t="str">
        <f>Footnotes!$O$3</f>
        <v>FEBRUARY 2025</v>
      </c>
      <c r="G10" s="113"/>
      <c r="H10" s="115" t="s">
        <v>917</v>
      </c>
      <c r="I10" s="113"/>
      <c r="J10" s="115" t="s">
        <v>918</v>
      </c>
    </row>
    <row r="11" spans="2:12">
      <c r="B11" s="113"/>
      <c r="F11" s="641"/>
      <c r="G11" s="113"/>
      <c r="H11" s="641" t="s">
        <v>103</v>
      </c>
      <c r="I11" s="113"/>
      <c r="J11" s="641"/>
    </row>
    <row r="12" spans="2:12">
      <c r="B12" s="116" t="s">
        <v>919</v>
      </c>
      <c r="G12" s="113"/>
      <c r="H12" s="313" t="s">
        <v>103</v>
      </c>
      <c r="I12" s="113"/>
    </row>
    <row r="13" spans="2:12">
      <c r="B13" s="113"/>
      <c r="G13" s="113"/>
      <c r="I13" s="113"/>
    </row>
    <row r="14" spans="2:12">
      <c r="B14" s="289" t="s">
        <v>920</v>
      </c>
      <c r="F14" s="507">
        <v>87344.4</v>
      </c>
      <c r="G14" s="507"/>
      <c r="H14" s="895">
        <v>80992.399999999994</v>
      </c>
      <c r="I14" s="507"/>
      <c r="J14" s="507">
        <v>77563.399999999994</v>
      </c>
    </row>
    <row r="15" spans="2:12">
      <c r="B15" s="289" t="s">
        <v>921</v>
      </c>
      <c r="F15" s="867">
        <v>4.3770000000000003E-2</v>
      </c>
      <c r="G15" s="311"/>
      <c r="H15" s="896">
        <v>5.04E-2</v>
      </c>
      <c r="I15" s="311"/>
      <c r="J15" s="867">
        <v>5.2880000000000003E-2</v>
      </c>
    </row>
    <row r="16" spans="2:12">
      <c r="B16" s="311" t="s">
        <v>922</v>
      </c>
      <c r="F16" s="868">
        <v>291.22800000000001</v>
      </c>
      <c r="G16" s="897"/>
      <c r="H16" s="898">
        <v>3716.0219999999999</v>
      </c>
      <c r="I16" s="379"/>
      <c r="J16" s="868">
        <v>3925.991</v>
      </c>
    </row>
    <row r="17" spans="2:11">
      <c r="B17" s="113"/>
      <c r="K17" s="113"/>
    </row>
    <row r="18" spans="2:11">
      <c r="B18" s="113"/>
      <c r="K18" s="113"/>
    </row>
    <row r="19" spans="2:11" ht="15" customHeight="1">
      <c r="B19" s="113"/>
      <c r="K19" s="113"/>
    </row>
    <row r="20" spans="2:11" ht="18">
      <c r="B20" s="369" t="s">
        <v>923</v>
      </c>
      <c r="C20" s="370"/>
      <c r="D20" s="370"/>
      <c r="K20" s="113"/>
    </row>
    <row r="21" spans="2:11">
      <c r="B21" s="113"/>
      <c r="G21" s="267"/>
      <c r="H21" s="267" t="str">
        <f>F10</f>
        <v>FEBRUARY 2025</v>
      </c>
      <c r="I21" s="693"/>
      <c r="J21" s="693" t="str">
        <f>UPPER(TEXT(H21-365,"MMMM YYYY"))</f>
        <v>FEBRUARY 2024</v>
      </c>
      <c r="K21" s="1733"/>
    </row>
    <row r="22" spans="2:11">
      <c r="B22" s="113"/>
      <c r="C22" s="371" t="s">
        <v>924</v>
      </c>
      <c r="E22" s="311" t="s">
        <v>103</v>
      </c>
      <c r="G22" s="372"/>
      <c r="H22" s="1289" t="s">
        <v>925</v>
      </c>
      <c r="I22" s="372"/>
      <c r="J22" s="1289" t="s">
        <v>925</v>
      </c>
      <c r="K22" s="113"/>
    </row>
    <row r="23" spans="2:11">
      <c r="B23" s="113"/>
      <c r="C23" s="311" t="s">
        <v>926</v>
      </c>
      <c r="G23" s="508"/>
      <c r="H23" s="509">
        <v>58906.2</v>
      </c>
      <c r="I23" s="508"/>
      <c r="J23" s="509">
        <v>61048.5</v>
      </c>
      <c r="K23" s="113"/>
    </row>
    <row r="24" spans="2:11">
      <c r="B24" s="113"/>
      <c r="C24" s="311" t="s">
        <v>927</v>
      </c>
      <c r="G24" s="508"/>
      <c r="H24" s="510">
        <v>682.1</v>
      </c>
      <c r="I24" s="508"/>
      <c r="J24" s="510">
        <v>74.3</v>
      </c>
      <c r="K24" s="113"/>
    </row>
    <row r="25" spans="2:11">
      <c r="B25" s="113"/>
      <c r="C25" s="311" t="s">
        <v>928</v>
      </c>
      <c r="G25" s="508"/>
      <c r="H25" s="510">
        <v>1150</v>
      </c>
      <c r="I25" s="508"/>
      <c r="J25" s="510">
        <v>552.5</v>
      </c>
      <c r="K25" s="113"/>
    </row>
    <row r="26" spans="2:11">
      <c r="B26" s="113"/>
      <c r="C26" s="311" t="s">
        <v>929</v>
      </c>
      <c r="G26" s="511"/>
      <c r="H26" s="510">
        <v>23761.9</v>
      </c>
      <c r="I26" s="511"/>
      <c r="J26" s="510">
        <v>21814</v>
      </c>
      <c r="K26" s="113" t="s">
        <v>103</v>
      </c>
    </row>
    <row r="27" spans="2:11">
      <c r="B27" s="113"/>
      <c r="C27" s="311" t="s">
        <v>930</v>
      </c>
      <c r="G27" s="511"/>
      <c r="H27" s="510">
        <v>3213.2</v>
      </c>
      <c r="I27" s="511"/>
      <c r="J27" s="510">
        <v>4104.7</v>
      </c>
      <c r="K27" s="113" t="s">
        <v>103</v>
      </c>
    </row>
    <row r="28" spans="2:11">
      <c r="B28" s="113"/>
      <c r="C28" s="311" t="s">
        <v>931</v>
      </c>
      <c r="G28" s="511"/>
      <c r="H28" s="510">
        <v>3</v>
      </c>
      <c r="I28" s="511"/>
      <c r="J28" s="510">
        <v>78</v>
      </c>
      <c r="K28" s="113"/>
    </row>
    <row r="29" spans="2:11" ht="16" thickBot="1">
      <c r="B29" s="113"/>
      <c r="G29" s="117"/>
      <c r="H29" s="642">
        <f>ROUND(SUM(H23:H28),1)</f>
        <v>87716.4</v>
      </c>
      <c r="I29" s="117"/>
      <c r="J29" s="642">
        <f>ROUND(SUM(J23:J28),1)</f>
        <v>87672</v>
      </c>
      <c r="K29" s="113"/>
    </row>
    <row r="30" spans="2:11" ht="16" thickTop="1">
      <c r="B30" s="113"/>
      <c r="G30" s="512"/>
      <c r="H30" s="512"/>
      <c r="I30" s="512"/>
      <c r="K30" s="113"/>
    </row>
    <row r="31" spans="2:11">
      <c r="B31" s="113"/>
      <c r="K31" s="113"/>
    </row>
    <row r="32" spans="2:11">
      <c r="B32" s="116"/>
      <c r="K32" s="113"/>
    </row>
    <row r="33" spans="2:12" ht="192.75" customHeight="1">
      <c r="B33" s="2134" t="s">
        <v>932</v>
      </c>
      <c r="C33" s="2134"/>
      <c r="D33" s="2134"/>
      <c r="E33" s="2134"/>
      <c r="F33" s="2134"/>
      <c r="G33" s="2134"/>
      <c r="H33" s="2134"/>
      <c r="I33" s="2134"/>
      <c r="J33" s="2134"/>
      <c r="K33" s="113"/>
    </row>
    <row r="35" spans="2:12" ht="15" customHeight="1">
      <c r="B35" s="279" t="s">
        <v>933</v>
      </c>
      <c r="C35" s="312"/>
      <c r="D35" s="312"/>
      <c r="E35" s="312"/>
      <c r="F35" s="312"/>
      <c r="G35" s="312"/>
      <c r="H35" s="312"/>
      <c r="I35" s="312"/>
      <c r="J35" s="312"/>
      <c r="K35" s="312"/>
      <c r="L35" s="312"/>
    </row>
    <row r="36" spans="2:12" ht="17.25" customHeight="1">
      <c r="B36" s="310"/>
      <c r="L36" s="113"/>
    </row>
    <row r="37" spans="2:12">
      <c r="B37" s="311"/>
      <c r="C37" s="311"/>
      <c r="L37" s="113"/>
    </row>
    <row r="38" spans="2:12">
      <c r="B38" s="310"/>
      <c r="C38" s="311"/>
      <c r="L38" s="113"/>
    </row>
    <row r="39" spans="2:12">
      <c r="B39" s="113"/>
      <c r="C39" s="311" t="s">
        <v>103</v>
      </c>
      <c r="D39" s="113"/>
      <c r="E39" s="113"/>
      <c r="F39" s="113"/>
      <c r="G39" s="113"/>
      <c r="H39" s="113"/>
      <c r="I39" s="113"/>
      <c r="J39" s="113"/>
    </row>
    <row r="40" spans="2:12">
      <c r="C40" s="311" t="s">
        <v>103</v>
      </c>
    </row>
  </sheetData>
  <mergeCells count="1">
    <mergeCell ref="B33:J33"/>
  </mergeCells>
  <printOptions horizontalCentered="1"/>
  <pageMargins left="0.5" right="0.5" top="1" bottom="0.5" header="0.5" footer="0.25"/>
  <pageSetup scale="70" firstPageNumber="47"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69140625" defaultRowHeight="15.5"/>
  <cols>
    <col min="1" max="1" width="45.4609375" style="172" customWidth="1"/>
    <col min="2" max="2" width="17" style="575" customWidth="1"/>
    <col min="3" max="3" width="1.69140625" style="575" customWidth="1"/>
    <col min="4" max="4" width="17" style="575" customWidth="1"/>
    <col min="5" max="5" width="1.69140625" style="574" customWidth="1"/>
    <col min="6" max="6" width="17" style="575" customWidth="1"/>
    <col min="7" max="7" width="1.69140625" style="574" customWidth="1"/>
    <col min="8" max="8" width="17" style="575" customWidth="1"/>
    <col min="9" max="9" width="1.69140625" style="618" customWidth="1"/>
    <col min="10" max="10" width="17" style="608" customWidth="1"/>
    <col min="11" max="11" width="1.69140625" style="608" customWidth="1"/>
    <col min="12" max="12" width="17" style="608" customWidth="1"/>
    <col min="13" max="13" width="1.69140625" style="618" customWidth="1"/>
    <col min="14" max="14" width="17" style="608" customWidth="1"/>
    <col min="15" max="15" width="1.69140625" style="618" customWidth="1"/>
    <col min="16" max="16" width="17" style="608" customWidth="1"/>
    <col min="17" max="17" width="1.69140625" style="618" customWidth="1"/>
    <col min="18" max="18" width="17" style="608" customWidth="1"/>
    <col min="19" max="19" width="1.69140625" style="618" customWidth="1"/>
    <col min="20" max="20" width="17" style="608" customWidth="1"/>
    <col min="21" max="21" width="1.69140625" style="618" customWidth="1"/>
    <col min="22" max="22" width="17" style="608" customWidth="1"/>
    <col min="23" max="23" width="1.69140625" style="618" customWidth="1"/>
    <col min="24" max="24" width="17" style="608" customWidth="1"/>
    <col min="25" max="25" width="1.69140625" style="618" customWidth="1"/>
    <col min="26" max="26" width="18.69140625" style="619" customWidth="1"/>
    <col min="27" max="27" width="1.53515625" style="493" customWidth="1"/>
    <col min="28" max="28" width="18.69140625" style="172" bestFit="1" customWidth="1"/>
    <col min="29" max="29" width="12.69140625" style="172" bestFit="1" customWidth="1"/>
    <col min="30" max="16384" width="8.69140625" style="172"/>
  </cols>
  <sheetData>
    <row r="1" spans="1:33">
      <c r="A1" s="275"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900"/>
      <c r="AB1" s="489"/>
      <c r="AC1" s="489"/>
      <c r="AD1" s="489"/>
      <c r="AE1" s="489"/>
      <c r="AF1" s="489"/>
      <c r="AG1" s="489"/>
    </row>
    <row r="2" spans="1:33">
      <c r="A2" s="275"/>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900"/>
      <c r="AB2" s="489"/>
      <c r="AC2" s="489"/>
      <c r="AD2" s="489"/>
      <c r="AE2" s="489"/>
      <c r="AF2" s="489"/>
      <c r="AG2" s="489"/>
    </row>
    <row r="3" spans="1:33" ht="17.899999999999999" customHeight="1">
      <c r="A3" s="357" t="s">
        <v>98</v>
      </c>
      <c r="B3" s="169"/>
      <c r="C3" s="169"/>
      <c r="D3" s="170"/>
      <c r="E3" s="171"/>
      <c r="F3" s="170"/>
      <c r="G3" s="171"/>
      <c r="H3" s="170"/>
      <c r="I3" s="171"/>
      <c r="K3" s="169"/>
      <c r="L3" s="609"/>
      <c r="M3" s="169"/>
      <c r="N3" s="170"/>
      <c r="O3" s="171"/>
      <c r="P3" s="170"/>
      <c r="Q3" s="171"/>
      <c r="R3" s="170"/>
      <c r="S3" s="171"/>
      <c r="T3" s="170"/>
      <c r="U3" s="171"/>
      <c r="V3" s="170"/>
      <c r="W3" s="171"/>
      <c r="X3" s="170"/>
      <c r="Y3" s="171"/>
      <c r="Z3" s="610" t="s">
        <v>934</v>
      </c>
      <c r="AA3" s="901"/>
      <c r="AC3" s="169"/>
      <c r="AE3" s="169"/>
    </row>
    <row r="4" spans="1:33" ht="17.899999999999999" customHeight="1">
      <c r="A4" s="357" t="s">
        <v>935</v>
      </c>
      <c r="B4" s="490"/>
      <c r="C4" s="490"/>
      <c r="D4" s="173"/>
      <c r="E4" s="171"/>
      <c r="F4" s="490"/>
      <c r="G4" s="171"/>
      <c r="H4" s="490"/>
      <c r="I4" s="171"/>
      <c r="J4" s="490"/>
      <c r="K4" s="490"/>
      <c r="L4" s="490"/>
      <c r="M4" s="174"/>
      <c r="N4" s="490"/>
      <c r="O4" s="171"/>
      <c r="P4" s="490"/>
      <c r="Q4" s="171"/>
      <c r="R4" s="490"/>
      <c r="S4" s="171"/>
      <c r="T4" s="490"/>
      <c r="U4" s="171"/>
      <c r="V4" s="490"/>
      <c r="W4" s="171"/>
      <c r="X4" s="490"/>
      <c r="Y4" s="171"/>
      <c r="Z4" s="611"/>
      <c r="AA4" s="901"/>
      <c r="AC4" s="169"/>
    </row>
    <row r="5" spans="1:33" ht="17.899999999999999" customHeight="1">
      <c r="A5" s="358" t="s">
        <v>936</v>
      </c>
      <c r="B5" s="490"/>
      <c r="C5" s="490"/>
      <c r="D5" s="490"/>
      <c r="E5" s="171"/>
      <c r="F5" s="490"/>
      <c r="G5" s="171"/>
      <c r="H5" s="490"/>
      <c r="I5" s="171"/>
      <c r="J5" s="490"/>
      <c r="K5" s="490"/>
      <c r="L5" s="490"/>
      <c r="M5" s="174"/>
      <c r="N5" s="490"/>
      <c r="O5" s="171"/>
      <c r="P5" s="490"/>
      <c r="Q5" s="171"/>
      <c r="R5" s="490"/>
      <c r="S5" s="171"/>
      <c r="T5" s="490"/>
      <c r="U5" s="171"/>
      <c r="V5" s="490"/>
      <c r="W5" s="171"/>
      <c r="X5" s="490"/>
      <c r="Y5" s="171"/>
      <c r="Z5" s="611"/>
    </row>
    <row r="6" spans="1:33" ht="17.899999999999999"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611"/>
    </row>
    <row r="7" spans="1:33" ht="18">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611"/>
    </row>
    <row r="8" spans="1:33">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53"/>
      <c r="AA8" s="180"/>
    </row>
    <row r="9" spans="1:33">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'Sch 5 '!$K$11</f>
        <v>11 MONTHS ENDED</v>
      </c>
      <c r="AA9" s="182"/>
    </row>
    <row r="10" spans="1:33">
      <c r="A10" s="493"/>
      <c r="B10" s="183" t="s">
        <v>336</v>
      </c>
      <c r="C10" s="183"/>
      <c r="D10" s="182" t="s">
        <v>337</v>
      </c>
      <c r="E10" s="174"/>
      <c r="F10" s="182" t="s">
        <v>338</v>
      </c>
      <c r="G10" s="174"/>
      <c r="H10" s="182" t="s">
        <v>339</v>
      </c>
      <c r="I10" s="174"/>
      <c r="J10" s="670"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'!$K$12</f>
        <v>FEBRUARY 28, 2025</v>
      </c>
      <c r="AA10" s="185"/>
    </row>
    <row r="11" spans="1:33">
      <c r="A11" s="493"/>
      <c r="B11" s="626" t="s">
        <v>103</v>
      </c>
      <c r="C11" s="494"/>
      <c r="D11" s="626"/>
      <c r="E11" s="495"/>
      <c r="F11" s="626"/>
      <c r="G11" s="495"/>
      <c r="H11" s="626"/>
      <c r="I11" s="495"/>
      <c r="J11" s="626"/>
      <c r="K11" s="184"/>
      <c r="L11" s="626"/>
      <c r="M11" s="495"/>
      <c r="N11" s="626"/>
      <c r="O11" s="495"/>
      <c r="P11" s="626"/>
      <c r="Q11" s="495"/>
      <c r="R11" s="626"/>
      <c r="S11" s="495"/>
      <c r="T11" s="626"/>
      <c r="U11" s="495"/>
      <c r="V11" s="626"/>
      <c r="W11" s="495"/>
      <c r="X11" s="626"/>
      <c r="Y11" s="495"/>
      <c r="Z11" s="1113" t="s">
        <v>103</v>
      </c>
    </row>
    <row r="12" spans="1:33" s="187" customFormat="1">
      <c r="A12" s="190" t="s">
        <v>937</v>
      </c>
      <c r="B12" s="186">
        <v>55427502</v>
      </c>
      <c r="C12" s="186"/>
      <c r="D12" s="186">
        <f>B46</f>
        <v>315092587</v>
      </c>
      <c r="E12" s="496"/>
      <c r="F12" s="186">
        <f>D46</f>
        <v>339534909</v>
      </c>
      <c r="G12" s="496"/>
      <c r="H12" s="186">
        <f>F46</f>
        <v>201573894</v>
      </c>
      <c r="I12" s="496"/>
      <c r="J12" s="186">
        <f>H46</f>
        <v>393400633</v>
      </c>
      <c r="K12" s="186"/>
      <c r="L12" s="186">
        <f>J46</f>
        <v>448639491</v>
      </c>
      <c r="M12" s="184"/>
      <c r="N12" s="186">
        <f>L46</f>
        <v>451147552</v>
      </c>
      <c r="O12" s="186"/>
      <c r="P12" s="186">
        <f>N46</f>
        <v>563687827</v>
      </c>
      <c r="Q12" s="186"/>
      <c r="R12" s="186">
        <f>P46</f>
        <v>630223825</v>
      </c>
      <c r="S12" s="186"/>
      <c r="T12" s="186">
        <f>R46</f>
        <v>777376167</v>
      </c>
      <c r="U12" s="186"/>
      <c r="V12" s="186">
        <f>T46</f>
        <v>669485213</v>
      </c>
      <c r="W12" s="186"/>
      <c r="X12" s="186"/>
      <c r="Y12" s="186"/>
      <c r="Z12" s="186">
        <f>+B12</f>
        <v>55427502</v>
      </c>
      <c r="AA12" s="902"/>
      <c r="AB12" s="1734"/>
    </row>
    <row r="13" spans="1:33">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612"/>
      <c r="AB13" s="1734"/>
    </row>
    <row r="14" spans="1:33">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612"/>
      <c r="AB14" s="1734"/>
    </row>
    <row r="15" spans="1:33">
      <c r="A15" s="359" t="s">
        <v>938</v>
      </c>
      <c r="B15" s="500">
        <v>60905091</v>
      </c>
      <c r="C15" s="500"/>
      <c r="D15" s="500">
        <v>48135627</v>
      </c>
      <c r="E15" s="500"/>
      <c r="F15" s="500">
        <v>42074105</v>
      </c>
      <c r="G15" s="500"/>
      <c r="H15" s="500">
        <v>62094192</v>
      </c>
      <c r="I15" s="500"/>
      <c r="J15" s="500">
        <v>50413926</v>
      </c>
      <c r="K15" s="500"/>
      <c r="L15" s="500">
        <v>47492113</v>
      </c>
      <c r="M15" s="498"/>
      <c r="N15" s="500">
        <v>51304605</v>
      </c>
      <c r="O15" s="500"/>
      <c r="P15" s="500">
        <v>40521191</v>
      </c>
      <c r="Q15" s="500"/>
      <c r="R15" s="500">
        <v>45578299</v>
      </c>
      <c r="S15" s="500"/>
      <c r="T15" s="500">
        <v>48417440</v>
      </c>
      <c r="U15" s="500"/>
      <c r="V15" s="500">
        <f>$Z15-SUM($B15:T15)</f>
        <v>31822459</v>
      </c>
      <c r="W15" s="500"/>
      <c r="X15" s="500"/>
      <c r="Y15" s="500"/>
      <c r="Z15" s="500">
        <v>528759048</v>
      </c>
      <c r="AB15" s="1734"/>
    </row>
    <row r="16" spans="1:33">
      <c r="A16" s="359" t="s">
        <v>939</v>
      </c>
      <c r="B16" s="500">
        <v>529000</v>
      </c>
      <c r="C16" s="500"/>
      <c r="D16" s="500">
        <v>1033000</v>
      </c>
      <c r="E16" s="500"/>
      <c r="F16" s="500">
        <v>1131000</v>
      </c>
      <c r="G16" s="500"/>
      <c r="H16" s="500">
        <v>1111000</v>
      </c>
      <c r="I16" s="500"/>
      <c r="J16" s="500">
        <v>826000</v>
      </c>
      <c r="K16" s="500"/>
      <c r="L16" s="500">
        <v>1103000</v>
      </c>
      <c r="M16" s="498"/>
      <c r="N16" s="500">
        <v>1092000</v>
      </c>
      <c r="O16" s="500"/>
      <c r="P16" s="500">
        <v>1035000</v>
      </c>
      <c r="Q16" s="500"/>
      <c r="R16" s="500">
        <v>1059000</v>
      </c>
      <c r="S16" s="500"/>
      <c r="T16" s="500">
        <v>508000</v>
      </c>
      <c r="U16" s="500"/>
      <c r="V16" s="500">
        <f>$Z16-SUM($B16:T16)</f>
        <v>984000</v>
      </c>
      <c r="W16" s="500"/>
      <c r="X16" s="500"/>
      <c r="Y16" s="500"/>
      <c r="Z16" s="500">
        <v>10411000</v>
      </c>
      <c r="AB16" s="1734"/>
    </row>
    <row r="17" spans="1:28">
      <c r="A17" s="359" t="s">
        <v>940</v>
      </c>
      <c r="B17" s="500">
        <v>-137104</v>
      </c>
      <c r="C17" s="500"/>
      <c r="D17" s="500">
        <v>628714</v>
      </c>
      <c r="E17" s="500"/>
      <c r="F17" s="500">
        <v>4642150</v>
      </c>
      <c r="G17" s="500"/>
      <c r="H17" s="500">
        <v>38732</v>
      </c>
      <c r="I17" s="500"/>
      <c r="J17" s="500">
        <v>722627</v>
      </c>
      <c r="K17" s="500"/>
      <c r="L17" s="500">
        <v>5310841</v>
      </c>
      <c r="M17" s="498"/>
      <c r="N17" s="500">
        <v>-394661</v>
      </c>
      <c r="O17" s="500"/>
      <c r="P17" s="500">
        <v>52180</v>
      </c>
      <c r="Q17" s="500"/>
      <c r="R17" s="500">
        <v>4891325</v>
      </c>
      <c r="S17" s="500"/>
      <c r="T17" s="500">
        <v>117787</v>
      </c>
      <c r="U17" s="500"/>
      <c r="V17" s="500">
        <f>$Z17-SUM($B17:T17)</f>
        <v>687098</v>
      </c>
      <c r="W17" s="500"/>
      <c r="X17" s="500"/>
      <c r="Y17" s="500"/>
      <c r="Z17" s="500">
        <v>16559689</v>
      </c>
      <c r="AB17" s="1734"/>
    </row>
    <row r="18" spans="1:28">
      <c r="A18" s="359" t="s">
        <v>941</v>
      </c>
      <c r="B18" s="500">
        <v>4196479</v>
      </c>
      <c r="C18" s="500"/>
      <c r="D18" s="500">
        <v>1958354</v>
      </c>
      <c r="E18" s="500"/>
      <c r="F18" s="500">
        <v>3420360</v>
      </c>
      <c r="G18" s="500"/>
      <c r="H18" s="500">
        <v>3411063</v>
      </c>
      <c r="I18" s="500"/>
      <c r="J18" s="500">
        <v>2345733</v>
      </c>
      <c r="K18" s="500"/>
      <c r="L18" s="500">
        <v>3515535</v>
      </c>
      <c r="M18" s="498"/>
      <c r="N18" s="500">
        <v>3461697</v>
      </c>
      <c r="O18" s="500"/>
      <c r="P18" s="500">
        <v>3051955</v>
      </c>
      <c r="Q18" s="500"/>
      <c r="R18" s="500">
        <v>3780867</v>
      </c>
      <c r="S18" s="500"/>
      <c r="T18" s="500">
        <v>4109982</v>
      </c>
      <c r="U18" s="500"/>
      <c r="V18" s="500">
        <f>$Z18-SUM($B18:T18)</f>
        <v>3190729</v>
      </c>
      <c r="W18" s="500"/>
      <c r="X18" s="500"/>
      <c r="Y18" s="500"/>
      <c r="Z18" s="500">
        <v>36442754</v>
      </c>
      <c r="AB18" s="1734"/>
    </row>
    <row r="19" spans="1:28">
      <c r="A19" s="359" t="s">
        <v>942</v>
      </c>
      <c r="B19" s="500">
        <v>575085207</v>
      </c>
      <c r="C19" s="500"/>
      <c r="D19" s="500">
        <v>539679973</v>
      </c>
      <c r="E19" s="500"/>
      <c r="F19" s="500">
        <v>601769585</v>
      </c>
      <c r="G19" s="500"/>
      <c r="H19" s="500">
        <v>612422730</v>
      </c>
      <c r="I19" s="500"/>
      <c r="J19" s="500">
        <v>511381399</v>
      </c>
      <c r="K19" s="500"/>
      <c r="L19" s="500">
        <v>581255396</v>
      </c>
      <c r="M19" s="498"/>
      <c r="N19" s="500">
        <v>635927510</v>
      </c>
      <c r="O19" s="500"/>
      <c r="P19" s="500">
        <v>543558823</v>
      </c>
      <c r="Q19" s="500"/>
      <c r="R19" s="500">
        <v>655095899</v>
      </c>
      <c r="S19" s="500"/>
      <c r="T19" s="500">
        <v>433391888</v>
      </c>
      <c r="U19" s="500"/>
      <c r="V19" s="500">
        <f>$Z19-SUM($B19:T19)</f>
        <v>606222271</v>
      </c>
      <c r="W19" s="500"/>
      <c r="X19" s="500"/>
      <c r="Y19" s="500"/>
      <c r="Z19" s="500">
        <v>6295790681</v>
      </c>
      <c r="AB19" s="1734"/>
    </row>
    <row r="20" spans="1:28">
      <c r="A20" s="359" t="s">
        <v>943</v>
      </c>
      <c r="B20" s="500">
        <v>74000</v>
      </c>
      <c r="C20" s="502"/>
      <c r="D20" s="500">
        <v>135000</v>
      </c>
      <c r="E20" s="500"/>
      <c r="F20" s="500">
        <v>900000</v>
      </c>
      <c r="G20" s="500"/>
      <c r="H20" s="500">
        <v>1492000</v>
      </c>
      <c r="I20" s="500"/>
      <c r="J20" s="500">
        <v>185000</v>
      </c>
      <c r="K20" s="504"/>
      <c r="L20" s="500">
        <v>128000</v>
      </c>
      <c r="M20" s="498"/>
      <c r="N20" s="500">
        <v>47000</v>
      </c>
      <c r="O20" s="500"/>
      <c r="P20" s="500">
        <v>0</v>
      </c>
      <c r="Q20" s="500"/>
      <c r="R20" s="500">
        <v>16000</v>
      </c>
      <c r="S20" s="500"/>
      <c r="T20" s="500">
        <v>154000</v>
      </c>
      <c r="U20" s="500"/>
      <c r="V20" s="500">
        <f>$Z20-SUM($B20:T20)</f>
        <v>32000</v>
      </c>
      <c r="W20" s="502"/>
      <c r="X20" s="500"/>
      <c r="Y20" s="500"/>
      <c r="Z20" s="500">
        <v>3163000</v>
      </c>
      <c r="AB20" s="1734"/>
    </row>
    <row r="21" spans="1:28">
      <c r="A21" s="359" t="s">
        <v>944</v>
      </c>
      <c r="B21" s="500">
        <v>2350919</v>
      </c>
      <c r="C21" s="502"/>
      <c r="D21" s="500">
        <v>228240</v>
      </c>
      <c r="E21" s="500"/>
      <c r="F21" s="500">
        <v>2352537</v>
      </c>
      <c r="G21" s="500"/>
      <c r="H21" s="500">
        <v>4619766</v>
      </c>
      <c r="I21" s="500"/>
      <c r="J21" s="500">
        <v>3951183</v>
      </c>
      <c r="K21" s="504"/>
      <c r="L21" s="500">
        <v>5206228</v>
      </c>
      <c r="M21" s="498"/>
      <c r="N21" s="500">
        <v>3283161</v>
      </c>
      <c r="O21" s="500"/>
      <c r="P21" s="500">
        <v>2476572</v>
      </c>
      <c r="Q21" s="500"/>
      <c r="R21" s="500">
        <v>5143565</v>
      </c>
      <c r="S21" s="500"/>
      <c r="T21" s="500">
        <v>2914602</v>
      </c>
      <c r="U21" s="500"/>
      <c r="V21" s="500">
        <f>$Z21-SUM($B21:T21)</f>
        <v>136280</v>
      </c>
      <c r="W21" s="502"/>
      <c r="X21" s="500"/>
      <c r="Y21" s="500"/>
      <c r="Z21" s="500">
        <v>32663053</v>
      </c>
      <c r="AB21" s="1734"/>
    </row>
    <row r="22" spans="1:28">
      <c r="A22" s="359" t="s">
        <v>945</v>
      </c>
      <c r="B22" s="500">
        <v>0</v>
      </c>
      <c r="C22" s="502"/>
      <c r="D22" s="500">
        <v>0</v>
      </c>
      <c r="E22" s="500"/>
      <c r="F22" s="500">
        <v>0</v>
      </c>
      <c r="G22" s="500"/>
      <c r="H22" s="500">
        <v>0</v>
      </c>
      <c r="I22" s="500"/>
      <c r="J22" s="500">
        <v>0</v>
      </c>
      <c r="K22" s="504"/>
      <c r="L22" s="500">
        <v>0</v>
      </c>
      <c r="M22" s="498"/>
      <c r="N22" s="500">
        <v>0</v>
      </c>
      <c r="O22" s="500"/>
      <c r="P22" s="500">
        <v>0</v>
      </c>
      <c r="Q22" s="500"/>
      <c r="R22" s="500">
        <v>0</v>
      </c>
      <c r="S22" s="500"/>
      <c r="T22" s="500">
        <v>0</v>
      </c>
      <c r="U22" s="500"/>
      <c r="V22" s="500">
        <f>$Z22-SUM($B22:T22)</f>
        <v>0</v>
      </c>
      <c r="W22" s="502"/>
      <c r="X22" s="500"/>
      <c r="Y22" s="500"/>
      <c r="Z22" s="500">
        <v>0</v>
      </c>
      <c r="AB22" s="1734"/>
    </row>
    <row r="23" spans="1:28">
      <c r="A23" s="360" t="s">
        <v>946</v>
      </c>
      <c r="B23" s="500">
        <v>0</v>
      </c>
      <c r="C23" s="502"/>
      <c r="D23" s="500">
        <v>0</v>
      </c>
      <c r="E23" s="500"/>
      <c r="F23" s="500">
        <v>0</v>
      </c>
      <c r="G23" s="500"/>
      <c r="H23" s="500">
        <v>0</v>
      </c>
      <c r="I23" s="500"/>
      <c r="J23" s="500">
        <v>0</v>
      </c>
      <c r="K23" s="504"/>
      <c r="L23" s="500">
        <v>0</v>
      </c>
      <c r="M23" s="498"/>
      <c r="N23" s="500">
        <v>0</v>
      </c>
      <c r="O23" s="500"/>
      <c r="P23" s="500">
        <v>0</v>
      </c>
      <c r="Q23" s="500"/>
      <c r="R23" s="500">
        <v>0</v>
      </c>
      <c r="S23" s="500"/>
      <c r="T23" s="500">
        <v>0</v>
      </c>
      <c r="U23" s="500"/>
      <c r="V23" s="500">
        <f>$Z23-SUM($B23:T23)</f>
        <v>0</v>
      </c>
      <c r="W23" s="502"/>
      <c r="X23" s="500"/>
      <c r="Y23" s="500"/>
      <c r="Z23" s="500">
        <v>0</v>
      </c>
      <c r="AB23" s="1734"/>
    </row>
    <row r="24" spans="1:28">
      <c r="A24" s="359" t="s">
        <v>947</v>
      </c>
      <c r="B24" s="500">
        <v>281896</v>
      </c>
      <c r="C24" s="504"/>
      <c r="D24" s="500">
        <v>302</v>
      </c>
      <c r="E24" s="500"/>
      <c r="F24" s="500">
        <v>0</v>
      </c>
      <c r="G24" s="500"/>
      <c r="H24" s="500">
        <v>574166</v>
      </c>
      <c r="I24" s="500"/>
      <c r="J24" s="500">
        <v>0</v>
      </c>
      <c r="K24" s="500"/>
      <c r="L24" s="500">
        <v>0</v>
      </c>
      <c r="M24" s="498"/>
      <c r="N24" s="500">
        <v>200</v>
      </c>
      <c r="O24" s="500"/>
      <c r="P24" s="500">
        <v>1000</v>
      </c>
      <c r="Q24" s="500"/>
      <c r="R24" s="500">
        <v>0</v>
      </c>
      <c r="S24" s="500"/>
      <c r="T24" s="500">
        <v>0</v>
      </c>
      <c r="U24" s="500"/>
      <c r="V24" s="500">
        <f>$Z24-SUM($B24:T24)</f>
        <v>0</v>
      </c>
      <c r="W24" s="500"/>
      <c r="X24" s="500"/>
      <c r="Y24" s="500"/>
      <c r="Z24" s="1754">
        <v>857564</v>
      </c>
      <c r="AB24" s="1734"/>
    </row>
    <row r="25" spans="1:28" s="187" customFormat="1">
      <c r="A25" s="188" t="s">
        <v>435</v>
      </c>
      <c r="B25" s="607">
        <f>ROUND(SUM(B15:B24),0)</f>
        <v>643285488</v>
      </c>
      <c r="C25" s="189"/>
      <c r="D25" s="607">
        <f>ROUND(SUM(D15:D24),0)</f>
        <v>591799210</v>
      </c>
      <c r="E25" s="189"/>
      <c r="F25" s="1230">
        <f>ROUND(SUM(F15:F24),0)</f>
        <v>656289737</v>
      </c>
      <c r="G25" s="189"/>
      <c r="H25" s="1230">
        <f>ROUND(SUM(H15:H24),0)</f>
        <v>685763649</v>
      </c>
      <c r="I25" s="189"/>
      <c r="J25" s="607">
        <f>ROUND(SUM(J15:J24),0)</f>
        <v>569825868</v>
      </c>
      <c r="K25" s="189"/>
      <c r="L25" s="607">
        <f>ROUND(SUM(L15:L24),0)</f>
        <v>644011113</v>
      </c>
      <c r="M25" s="184"/>
      <c r="N25" s="607">
        <f>ROUND(SUM(N15:N24),0)</f>
        <v>694721512</v>
      </c>
      <c r="O25" s="189"/>
      <c r="P25" s="607">
        <f>ROUND(SUM(P15:P24),0)</f>
        <v>590696721</v>
      </c>
      <c r="Q25" s="189"/>
      <c r="R25" s="607">
        <f>ROUND(SUM(R15:R24),0)</f>
        <v>715564955</v>
      </c>
      <c r="S25" s="189"/>
      <c r="T25" s="607">
        <f>ROUND(SUM(T15:T24),0)</f>
        <v>489613699</v>
      </c>
      <c r="U25" s="189"/>
      <c r="V25" s="607">
        <f>ROUND(SUM(V15:V24),0)</f>
        <v>643074837</v>
      </c>
      <c r="W25" s="189"/>
      <c r="X25" s="607">
        <f>ROUND(SUM(X15:X24),0)</f>
        <v>0</v>
      </c>
      <c r="Y25" s="189"/>
      <c r="Z25" s="607">
        <f>ROUND(SUM(Z15:Z24),0)</f>
        <v>6924646789</v>
      </c>
      <c r="AA25" s="902"/>
      <c r="AB25" s="1735"/>
    </row>
    <row r="26" spans="1:28">
      <c r="A26" s="497"/>
      <c r="B26" s="500"/>
      <c r="C26" s="500"/>
      <c r="D26" s="500"/>
      <c r="E26" s="500"/>
      <c r="F26" s="500"/>
      <c r="G26" s="500"/>
      <c r="H26" s="500"/>
      <c r="I26" s="500"/>
      <c r="J26" s="500"/>
      <c r="K26" s="500"/>
      <c r="L26" s="500"/>
      <c r="M26" s="498"/>
      <c r="N26" s="500"/>
      <c r="O26" s="500"/>
      <c r="P26" s="500"/>
      <c r="Q26" s="500"/>
      <c r="R26" s="500"/>
      <c r="S26" s="500"/>
      <c r="T26" s="500"/>
      <c r="U26" s="500"/>
      <c r="V26" s="500"/>
      <c r="W26" s="500"/>
      <c r="X26" s="500"/>
      <c r="Y26" s="500"/>
      <c r="Z26" s="501"/>
      <c r="AB26" s="1734"/>
    </row>
    <row r="27" spans="1:28">
      <c r="A27" s="188" t="s">
        <v>122</v>
      </c>
      <c r="B27" s="500"/>
      <c r="C27" s="500"/>
      <c r="D27" s="500"/>
      <c r="E27" s="500"/>
      <c r="F27" s="500"/>
      <c r="G27" s="500"/>
      <c r="H27" s="500"/>
      <c r="I27" s="500"/>
      <c r="J27" s="500"/>
      <c r="K27" s="500"/>
      <c r="L27" s="500"/>
      <c r="M27" s="498"/>
      <c r="N27" s="500"/>
      <c r="O27" s="500"/>
      <c r="P27" s="500"/>
      <c r="Q27" s="500"/>
      <c r="R27" s="500"/>
      <c r="S27" s="500"/>
      <c r="T27" s="500"/>
      <c r="U27" s="500"/>
      <c r="V27" s="500"/>
      <c r="W27" s="500"/>
      <c r="X27" s="500"/>
      <c r="Y27" s="500"/>
      <c r="Z27" s="501"/>
      <c r="AB27" s="1734"/>
    </row>
    <row r="28" spans="1:28">
      <c r="A28" s="359" t="s">
        <v>948</v>
      </c>
      <c r="B28" s="500">
        <v>382022602</v>
      </c>
      <c r="C28" s="500"/>
      <c r="D28" s="500">
        <v>557313581</v>
      </c>
      <c r="E28" s="500"/>
      <c r="F28" s="500">
        <v>787407509</v>
      </c>
      <c r="G28" s="500"/>
      <c r="H28" s="500">
        <v>486914652</v>
      </c>
      <c r="I28" s="500"/>
      <c r="J28" s="500">
        <v>506908973</v>
      </c>
      <c r="K28" s="500"/>
      <c r="L28" s="500">
        <v>634988060</v>
      </c>
      <c r="M28" s="498"/>
      <c r="N28" s="500">
        <v>576646132</v>
      </c>
      <c r="O28" s="500"/>
      <c r="P28" s="500">
        <v>516292936</v>
      </c>
      <c r="Q28" s="500"/>
      <c r="R28" s="500">
        <v>561986441</v>
      </c>
      <c r="S28" s="500"/>
      <c r="T28" s="500">
        <v>592108184</v>
      </c>
      <c r="U28" s="500"/>
      <c r="V28" s="500">
        <f>$Z28-SUM($B28:T28)</f>
        <v>562326618</v>
      </c>
      <c r="W28" s="500"/>
      <c r="X28" s="500"/>
      <c r="Y28" s="500"/>
      <c r="Z28" s="500">
        <v>6164915688</v>
      </c>
      <c r="AB28" s="1734"/>
    </row>
    <row r="29" spans="1:28">
      <c r="A29" s="359" t="s">
        <v>949</v>
      </c>
      <c r="B29" s="500">
        <v>7</v>
      </c>
      <c r="C29" s="500"/>
      <c r="D29" s="500">
        <v>23858</v>
      </c>
      <c r="E29" s="500"/>
      <c r="F29" s="500">
        <v>579</v>
      </c>
      <c r="G29" s="500"/>
      <c r="H29" s="500">
        <v>7163</v>
      </c>
      <c r="I29" s="500"/>
      <c r="J29" s="500">
        <v>1692</v>
      </c>
      <c r="K29" s="500"/>
      <c r="L29" s="500">
        <v>672</v>
      </c>
      <c r="M29" s="498"/>
      <c r="N29" s="500">
        <v>3793</v>
      </c>
      <c r="O29" s="500"/>
      <c r="P29" s="500">
        <v>6397</v>
      </c>
      <c r="Q29" s="500"/>
      <c r="R29" s="500">
        <v>420</v>
      </c>
      <c r="S29" s="500"/>
      <c r="T29" s="500">
        <v>496</v>
      </c>
      <c r="U29" s="500"/>
      <c r="V29" s="500">
        <f>$Z29-SUM($B29:T29)</f>
        <v>5703</v>
      </c>
      <c r="W29" s="500"/>
      <c r="X29" s="500"/>
      <c r="Y29" s="500"/>
      <c r="Z29" s="500">
        <v>50780</v>
      </c>
      <c r="AB29" s="1735"/>
    </row>
    <row r="30" spans="1:28">
      <c r="A30" s="359" t="s">
        <v>950</v>
      </c>
      <c r="B30" s="500">
        <v>1042773</v>
      </c>
      <c r="C30" s="500"/>
      <c r="D30" s="500">
        <v>1042371</v>
      </c>
      <c r="E30" s="500"/>
      <c r="F30" s="500">
        <v>563027</v>
      </c>
      <c r="G30" s="500"/>
      <c r="H30" s="500">
        <v>1692641</v>
      </c>
      <c r="I30" s="500"/>
      <c r="J30" s="500">
        <v>1649486</v>
      </c>
      <c r="K30" s="500"/>
      <c r="L30" s="500">
        <v>665347</v>
      </c>
      <c r="M30" s="498"/>
      <c r="N30" s="500">
        <v>1277280</v>
      </c>
      <c r="O30" s="500"/>
      <c r="P30" s="500">
        <v>1121189</v>
      </c>
      <c r="Q30" s="500"/>
      <c r="R30" s="500">
        <v>1049898</v>
      </c>
      <c r="S30" s="500"/>
      <c r="T30" s="500">
        <v>1703312</v>
      </c>
      <c r="U30" s="500"/>
      <c r="V30" s="500">
        <f>$Z30-SUM($B30:T30)</f>
        <v>923102</v>
      </c>
      <c r="W30" s="500"/>
      <c r="X30" s="500"/>
      <c r="Y30" s="500"/>
      <c r="Z30" s="500">
        <v>12730426</v>
      </c>
      <c r="AB30" s="1734"/>
    </row>
    <row r="31" spans="1:28">
      <c r="A31" s="359" t="s">
        <v>951</v>
      </c>
      <c r="B31" s="500">
        <v>109537</v>
      </c>
      <c r="C31" s="500"/>
      <c r="D31" s="500">
        <v>7603536</v>
      </c>
      <c r="E31" s="500"/>
      <c r="F31" s="500">
        <v>4340725</v>
      </c>
      <c r="G31" s="500"/>
      <c r="H31" s="500">
        <v>4525926</v>
      </c>
      <c r="I31" s="500"/>
      <c r="J31" s="500">
        <v>4693123</v>
      </c>
      <c r="K31" s="500"/>
      <c r="L31" s="500">
        <v>4965133</v>
      </c>
      <c r="M31" s="498"/>
      <c r="N31" s="500">
        <v>2819011</v>
      </c>
      <c r="O31" s="500"/>
      <c r="P31" s="500">
        <v>6264286</v>
      </c>
      <c r="Q31" s="500"/>
      <c r="R31" s="500">
        <v>4674440</v>
      </c>
      <c r="S31" s="500"/>
      <c r="T31" s="500">
        <v>2992537</v>
      </c>
      <c r="U31" s="500"/>
      <c r="V31" s="500">
        <f>$Z31-SUM($B31:T31)</f>
        <v>7118567</v>
      </c>
      <c r="W31" s="500"/>
      <c r="X31" s="500"/>
      <c r="Y31" s="500"/>
      <c r="Z31" s="500">
        <v>50106821</v>
      </c>
      <c r="AB31" s="1734"/>
    </row>
    <row r="32" spans="1:28">
      <c r="A32" s="359" t="s">
        <v>952</v>
      </c>
      <c r="B32" s="500">
        <v>0</v>
      </c>
      <c r="C32" s="500"/>
      <c r="D32" s="500">
        <v>1373542</v>
      </c>
      <c r="E32" s="500"/>
      <c r="F32" s="500">
        <v>796380</v>
      </c>
      <c r="G32" s="500"/>
      <c r="H32" s="500">
        <v>796528</v>
      </c>
      <c r="I32" s="500"/>
      <c r="J32" s="500">
        <v>661578</v>
      </c>
      <c r="K32" s="500"/>
      <c r="L32" s="500">
        <v>852572</v>
      </c>
      <c r="M32" s="498"/>
      <c r="N32" s="500">
        <v>1168827</v>
      </c>
      <c r="O32" s="500"/>
      <c r="P32" s="500">
        <v>265277</v>
      </c>
      <c r="Q32" s="500"/>
      <c r="R32" s="500">
        <v>345111</v>
      </c>
      <c r="S32" s="500"/>
      <c r="T32" s="500">
        <v>700124</v>
      </c>
      <c r="U32" s="500"/>
      <c r="V32" s="500">
        <f>$Z32-SUM($B32:T32)</f>
        <v>796521</v>
      </c>
      <c r="W32" s="500"/>
      <c r="X32" s="500"/>
      <c r="Y32" s="500"/>
      <c r="Z32" s="500">
        <v>7756460</v>
      </c>
      <c r="AB32" s="1734"/>
    </row>
    <row r="33" spans="1:28">
      <c r="A33" s="188" t="s">
        <v>465</v>
      </c>
      <c r="B33" s="607">
        <f>ROUND(SUM(B28:B32),0)</f>
        <v>383174919</v>
      </c>
      <c r="C33" s="500"/>
      <c r="D33" s="607">
        <f>ROUND(SUM(D28:D32),0)</f>
        <v>567356888</v>
      </c>
      <c r="E33" s="500"/>
      <c r="F33" s="607">
        <f>ROUND(SUM(F28:F32),0)</f>
        <v>793108220</v>
      </c>
      <c r="G33" s="500"/>
      <c r="H33" s="607">
        <f>ROUND(SUM(H28:H32),0)</f>
        <v>493936910</v>
      </c>
      <c r="I33" s="500"/>
      <c r="J33" s="607">
        <f>ROUND(SUM(J28:J32),0)</f>
        <v>513914852</v>
      </c>
      <c r="K33" s="500"/>
      <c r="L33" s="607">
        <f>ROUND(SUM(L28:L32),0)</f>
        <v>641471784</v>
      </c>
      <c r="M33" s="498"/>
      <c r="N33" s="607">
        <f>ROUND(SUM(N28:N32),0)</f>
        <v>581915043</v>
      </c>
      <c r="O33" s="500"/>
      <c r="P33" s="607">
        <f>ROUND(SUM(P28:P32),0)</f>
        <v>523950085</v>
      </c>
      <c r="Q33" s="500"/>
      <c r="R33" s="607">
        <f>ROUND(SUM(R28:R32),0)</f>
        <v>568056310</v>
      </c>
      <c r="S33" s="500"/>
      <c r="T33" s="607">
        <f>ROUND(SUM(T28:T32),0)</f>
        <v>597504653</v>
      </c>
      <c r="U33" s="500"/>
      <c r="V33" s="607">
        <f>ROUND(SUM(V28:V32),0)</f>
        <v>571170511</v>
      </c>
      <c r="W33" s="500"/>
      <c r="X33" s="607">
        <f>ROUND(SUM(X28:X32),0)</f>
        <v>0</v>
      </c>
      <c r="Y33" s="500"/>
      <c r="Z33" s="607">
        <f>ROUND(SUM(Z28:Z32),0)</f>
        <v>6235560175</v>
      </c>
      <c r="AB33" s="1734"/>
    </row>
    <row r="34" spans="1:28">
      <c r="A34" s="188"/>
      <c r="B34" s="500"/>
      <c r="C34" s="500"/>
      <c r="D34" s="500"/>
      <c r="E34" s="500"/>
      <c r="F34" s="502"/>
      <c r="G34" s="500"/>
      <c r="H34" s="502"/>
      <c r="I34" s="500"/>
      <c r="J34" s="500"/>
      <c r="K34" s="500"/>
      <c r="L34" s="500"/>
      <c r="M34" s="498"/>
      <c r="N34" s="500"/>
      <c r="O34" s="500"/>
      <c r="P34" s="500"/>
      <c r="Q34" s="500"/>
      <c r="R34" s="500"/>
      <c r="S34" s="500"/>
      <c r="T34" s="500"/>
      <c r="U34" s="500"/>
      <c r="V34" s="500"/>
      <c r="W34" s="500"/>
      <c r="X34" s="500"/>
      <c r="Y34" s="500"/>
      <c r="Z34" s="501"/>
      <c r="AB34" s="1734"/>
    </row>
    <row r="35" spans="1:28">
      <c r="A35" s="190" t="s">
        <v>953</v>
      </c>
      <c r="B35" s="502"/>
      <c r="C35" s="502"/>
      <c r="D35" s="502"/>
      <c r="E35" s="500"/>
      <c r="F35" s="505"/>
      <c r="G35" s="500"/>
      <c r="H35" s="502"/>
      <c r="I35" s="500"/>
      <c r="K35" s="500"/>
      <c r="L35" s="502"/>
      <c r="M35" s="498"/>
      <c r="N35" s="502"/>
      <c r="O35" s="500"/>
      <c r="P35" s="502"/>
      <c r="Q35" s="500"/>
      <c r="R35" s="502"/>
      <c r="S35" s="500"/>
      <c r="T35" s="502"/>
      <c r="U35" s="500"/>
      <c r="V35" s="502"/>
      <c r="W35" s="500"/>
      <c r="X35" s="502"/>
      <c r="Y35" s="500"/>
      <c r="Z35" s="501"/>
      <c r="AB35" s="1734"/>
    </row>
    <row r="36" spans="1:28">
      <c r="A36" s="359" t="s">
        <v>954</v>
      </c>
      <c r="B36" s="500">
        <v>0</v>
      </c>
      <c r="C36" s="502"/>
      <c r="D36" s="500">
        <v>0</v>
      </c>
      <c r="E36" s="500"/>
      <c r="F36" s="500">
        <v>0</v>
      </c>
      <c r="G36" s="500"/>
      <c r="H36" s="500">
        <v>0</v>
      </c>
      <c r="I36" s="500"/>
      <c r="J36" s="500">
        <v>0</v>
      </c>
      <c r="K36" s="500"/>
      <c r="L36" s="500">
        <v>0</v>
      </c>
      <c r="M36" s="498"/>
      <c r="N36" s="500">
        <v>0</v>
      </c>
      <c r="O36" s="500"/>
      <c r="P36" s="500">
        <v>0</v>
      </c>
      <c r="Q36" s="500"/>
      <c r="R36" s="500">
        <v>0</v>
      </c>
      <c r="S36" s="500"/>
      <c r="T36" s="500">
        <v>0</v>
      </c>
      <c r="U36" s="500"/>
      <c r="V36" s="500">
        <f>$Z36-SUM($B36:T36)</f>
        <v>0</v>
      </c>
      <c r="W36" s="500"/>
      <c r="X36" s="500"/>
      <c r="Y36" s="500"/>
      <c r="Z36" s="500">
        <v>0</v>
      </c>
      <c r="AB36" s="1734"/>
    </row>
    <row r="37" spans="1:28">
      <c r="A37" s="359" t="s">
        <v>955</v>
      </c>
      <c r="B37" s="500">
        <v>0</v>
      </c>
      <c r="C37" s="502"/>
      <c r="D37" s="500">
        <v>0</v>
      </c>
      <c r="E37" s="500"/>
      <c r="F37" s="500">
        <v>508091</v>
      </c>
      <c r="G37" s="500"/>
      <c r="H37" s="500">
        <v>0</v>
      </c>
      <c r="I37" s="500"/>
      <c r="J37" s="500">
        <v>0</v>
      </c>
      <c r="K37" s="500"/>
      <c r="L37" s="500">
        <v>0</v>
      </c>
      <c r="M37" s="498"/>
      <c r="N37" s="500">
        <v>0</v>
      </c>
      <c r="O37" s="500"/>
      <c r="P37" s="500">
        <v>0</v>
      </c>
      <c r="Q37" s="500"/>
      <c r="R37" s="500">
        <v>325034</v>
      </c>
      <c r="S37" s="500"/>
      <c r="T37" s="500">
        <v>0</v>
      </c>
      <c r="U37" s="500"/>
      <c r="V37" s="500">
        <f>$Z37-SUM($B37:T37)</f>
        <v>0</v>
      </c>
      <c r="W37" s="500"/>
      <c r="X37" s="500"/>
      <c r="Y37" s="500"/>
      <c r="Z37" s="500">
        <v>833125</v>
      </c>
      <c r="AB37" s="1734"/>
    </row>
    <row r="38" spans="1:28">
      <c r="A38" s="359" t="s">
        <v>956</v>
      </c>
      <c r="B38" s="500" t="s">
        <v>103</v>
      </c>
      <c r="C38" s="613"/>
      <c r="D38" s="500"/>
      <c r="E38" s="613"/>
      <c r="F38" s="500"/>
      <c r="G38" s="613"/>
      <c r="H38" s="500"/>
      <c r="I38" s="613"/>
      <c r="J38" s="500"/>
      <c r="K38" s="613"/>
      <c r="L38" s="500"/>
      <c r="M38" s="498"/>
      <c r="N38" s="500"/>
      <c r="O38" s="613"/>
      <c r="P38" s="500"/>
      <c r="Q38" s="613"/>
      <c r="R38" s="500"/>
      <c r="S38" s="613"/>
      <c r="T38" s="500"/>
      <c r="U38" s="613"/>
      <c r="V38" s="500"/>
      <c r="W38" s="613"/>
      <c r="X38" s="500"/>
      <c r="Y38" s="613"/>
      <c r="Z38" s="613" t="s">
        <v>103</v>
      </c>
      <c r="AB38" s="1734"/>
    </row>
    <row r="39" spans="1:28">
      <c r="A39" s="359" t="s">
        <v>957</v>
      </c>
      <c r="B39" s="500">
        <v>0</v>
      </c>
      <c r="C39" s="502"/>
      <c r="D39" s="500">
        <v>0</v>
      </c>
      <c r="E39" s="500"/>
      <c r="F39" s="500">
        <v>0</v>
      </c>
      <c r="G39" s="500"/>
      <c r="H39" s="500">
        <v>0</v>
      </c>
      <c r="I39" s="500"/>
      <c r="J39" s="500">
        <v>596449</v>
      </c>
      <c r="K39" s="500"/>
      <c r="L39" s="500">
        <v>0</v>
      </c>
      <c r="M39" s="498"/>
      <c r="N39" s="500">
        <v>0</v>
      </c>
      <c r="O39" s="500"/>
      <c r="P39" s="500">
        <v>210638</v>
      </c>
      <c r="Q39" s="500"/>
      <c r="R39" s="500">
        <v>0</v>
      </c>
      <c r="S39" s="500"/>
      <c r="T39" s="500">
        <v>0</v>
      </c>
      <c r="U39" s="500"/>
      <c r="V39" s="500">
        <f>$Z39-SUM($B39:T39)</f>
        <v>755337</v>
      </c>
      <c r="W39" s="500"/>
      <c r="X39" s="500"/>
      <c r="Y39" s="500"/>
      <c r="Z39" s="500">
        <v>1562424</v>
      </c>
      <c r="AB39" s="1734"/>
    </row>
    <row r="40" spans="1:28">
      <c r="A40" s="359" t="s">
        <v>958</v>
      </c>
      <c r="B40" s="500">
        <v>0</v>
      </c>
      <c r="C40" s="502"/>
      <c r="D40" s="500">
        <v>0</v>
      </c>
      <c r="E40" s="500"/>
      <c r="F40" s="500">
        <v>0</v>
      </c>
      <c r="G40" s="500"/>
      <c r="H40" s="500">
        <v>0</v>
      </c>
      <c r="I40" s="500"/>
      <c r="J40" s="500">
        <v>0</v>
      </c>
      <c r="K40" s="500"/>
      <c r="L40" s="500">
        <v>0</v>
      </c>
      <c r="M40" s="498"/>
      <c r="N40" s="500">
        <v>0</v>
      </c>
      <c r="O40" s="500"/>
      <c r="P40" s="500">
        <v>0</v>
      </c>
      <c r="Q40" s="500"/>
      <c r="R40" s="500">
        <v>0</v>
      </c>
      <c r="S40" s="500"/>
      <c r="T40" s="500">
        <v>0</v>
      </c>
      <c r="U40" s="500"/>
      <c r="V40" s="500">
        <f>$Z40-SUM($B40:T40)</f>
        <v>0</v>
      </c>
      <c r="W40" s="500"/>
      <c r="X40" s="500"/>
      <c r="Y40" s="500"/>
      <c r="Z40" s="500">
        <v>0</v>
      </c>
      <c r="AB40" s="1734"/>
    </row>
    <row r="41" spans="1:28">
      <c r="A41" s="359" t="s">
        <v>959</v>
      </c>
      <c r="B41" s="500">
        <v>445484</v>
      </c>
      <c r="C41" s="502"/>
      <c r="D41" s="500">
        <v>0</v>
      </c>
      <c r="E41" s="500"/>
      <c r="F41" s="500">
        <v>634441</v>
      </c>
      <c r="G41" s="500"/>
      <c r="H41" s="500">
        <v>0</v>
      </c>
      <c r="I41" s="500"/>
      <c r="J41" s="500">
        <v>75709</v>
      </c>
      <c r="K41" s="500"/>
      <c r="L41" s="500">
        <v>31268</v>
      </c>
      <c r="M41" s="498"/>
      <c r="N41" s="500">
        <v>266194</v>
      </c>
      <c r="O41" s="500"/>
      <c r="P41" s="500">
        <v>0</v>
      </c>
      <c r="Q41" s="500"/>
      <c r="R41" s="500">
        <v>31269</v>
      </c>
      <c r="S41" s="500"/>
      <c r="T41" s="500">
        <v>0</v>
      </c>
      <c r="U41" s="500"/>
      <c r="V41" s="500">
        <f>$Z41-SUM($B41:T41)</f>
        <v>41308</v>
      </c>
      <c r="W41" s="500"/>
      <c r="X41" s="500"/>
      <c r="Y41" s="500"/>
      <c r="Z41" s="500">
        <v>1525673</v>
      </c>
      <c r="AB41" s="1734"/>
    </row>
    <row r="42" spans="1:28">
      <c r="A42" s="188" t="s">
        <v>960</v>
      </c>
      <c r="B42" s="614">
        <f>ROUND(SUM(B36:B41),0)</f>
        <v>445484</v>
      </c>
      <c r="C42" s="502"/>
      <c r="D42" s="614">
        <f>ROUND(SUM(D36:D41),0)</f>
        <v>0</v>
      </c>
      <c r="E42" s="500"/>
      <c r="F42" s="614">
        <f>ROUND(SUM(F36:F41),0)</f>
        <v>1142532</v>
      </c>
      <c r="G42" s="500"/>
      <c r="H42" s="614">
        <f>ROUND(SUM(H36:H41),0)</f>
        <v>0</v>
      </c>
      <c r="I42" s="500"/>
      <c r="J42" s="614">
        <f>ROUND(SUM(J36:J41),0)</f>
        <v>672158</v>
      </c>
      <c r="K42" s="500"/>
      <c r="L42" s="614">
        <f>ROUND(SUM(L36:L41),0)</f>
        <v>31268</v>
      </c>
      <c r="M42" s="498"/>
      <c r="N42" s="614">
        <f>ROUND(SUM(N36:N41),0)</f>
        <v>266194</v>
      </c>
      <c r="O42" s="500"/>
      <c r="P42" s="614">
        <f>ROUND(SUM(P36:P41),0)</f>
        <v>210638</v>
      </c>
      <c r="Q42" s="500"/>
      <c r="R42" s="614">
        <f>ROUND(SUM(R36:R41),0)</f>
        <v>356303</v>
      </c>
      <c r="S42" s="500"/>
      <c r="T42" s="614">
        <f>ROUND(SUM(T36:T41),0)</f>
        <v>0</v>
      </c>
      <c r="U42" s="500"/>
      <c r="V42" s="614">
        <f>ROUND(SUM(V36:V41),0)</f>
        <v>796645</v>
      </c>
      <c r="W42" s="500"/>
      <c r="X42" s="614">
        <f>ROUND(SUM(X36:X41),0)</f>
        <v>0</v>
      </c>
      <c r="Y42" s="500"/>
      <c r="Z42" s="614">
        <f>ROUND(SUM(Z36:Z41),0)</f>
        <v>3921222</v>
      </c>
      <c r="AB42" s="1734"/>
    </row>
    <row r="43" spans="1:28">
      <c r="B43" s="628"/>
      <c r="C43" s="502"/>
      <c r="D43" s="628"/>
      <c r="E43" s="500"/>
      <c r="F43" s="1203"/>
      <c r="G43" s="500"/>
      <c r="H43" s="1203"/>
      <c r="I43" s="500"/>
      <c r="J43" s="628"/>
      <c r="K43" s="500"/>
      <c r="L43" s="628"/>
      <c r="M43" s="498"/>
      <c r="N43" s="628"/>
      <c r="O43" s="500"/>
      <c r="P43" s="628"/>
      <c r="Q43" s="500"/>
      <c r="R43" s="628"/>
      <c r="S43" s="500"/>
      <c r="T43" s="628"/>
      <c r="U43" s="500"/>
      <c r="V43" s="628"/>
      <c r="W43" s="500"/>
      <c r="X43" s="628"/>
      <c r="Y43" s="500"/>
      <c r="Z43" s="1114"/>
      <c r="AB43" s="1734"/>
    </row>
    <row r="44" spans="1:28" s="187" customFormat="1">
      <c r="A44" s="188" t="s">
        <v>961</v>
      </c>
      <c r="B44" s="1115">
        <f>ROUND(B33+B42,0)</f>
        <v>383620403</v>
      </c>
      <c r="C44" s="189"/>
      <c r="D44" s="1115">
        <f>ROUND(D33+D42,0)</f>
        <v>567356888</v>
      </c>
      <c r="E44" s="189"/>
      <c r="F44" s="1115">
        <f>ROUND(F33+F42,0)</f>
        <v>794250752</v>
      </c>
      <c r="G44" s="189"/>
      <c r="H44" s="1115">
        <f>ROUND(H33+H42,0)</f>
        <v>493936910</v>
      </c>
      <c r="I44" s="189"/>
      <c r="J44" s="1115">
        <f>ROUND(J33+J42,0)</f>
        <v>514587010</v>
      </c>
      <c r="K44" s="189"/>
      <c r="L44" s="1115">
        <f>ROUND(L33+L42,0)</f>
        <v>641503052</v>
      </c>
      <c r="M44" s="184"/>
      <c r="N44" s="1115">
        <f>ROUND(N33+N42,0)</f>
        <v>582181237</v>
      </c>
      <c r="O44" s="189"/>
      <c r="P44" s="1115">
        <f>ROUND(P33+P42,0)</f>
        <v>524160723</v>
      </c>
      <c r="Q44" s="189"/>
      <c r="R44" s="1115">
        <f>ROUND(R33+R42,0)</f>
        <v>568412613</v>
      </c>
      <c r="S44" s="189"/>
      <c r="T44" s="1115">
        <f>ROUND(T33+T42,0)</f>
        <v>597504653</v>
      </c>
      <c r="U44" s="189"/>
      <c r="V44" s="1115">
        <f>ROUND(V33+V42,0)</f>
        <v>571967156</v>
      </c>
      <c r="W44" s="189"/>
      <c r="X44" s="1115">
        <f>ROUND(X33+X42,0)</f>
        <v>0</v>
      </c>
      <c r="Y44" s="189"/>
      <c r="Z44" s="1115">
        <f>ROUND(Z33+Z42,0)</f>
        <v>6239481397</v>
      </c>
      <c r="AA44" s="902"/>
      <c r="AB44" s="1735"/>
    </row>
    <row r="45" spans="1:28">
      <c r="A45" s="497"/>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615"/>
      <c r="AB45" s="1734"/>
    </row>
    <row r="46" spans="1:28" s="187" customFormat="1" ht="16" thickBot="1">
      <c r="A46" s="190" t="s">
        <v>962</v>
      </c>
      <c r="B46" s="840">
        <f>ROUND(B12+B25-B44,0)</f>
        <v>315092587</v>
      </c>
      <c r="C46" s="186"/>
      <c r="D46" s="840">
        <f>ROUND(D12+D25-D44,0)</f>
        <v>339534909</v>
      </c>
      <c r="E46" s="496"/>
      <c r="F46" s="840">
        <f>ROUND(F12+F25-F44,0)</f>
        <v>201573894</v>
      </c>
      <c r="G46" s="496"/>
      <c r="H46" s="840">
        <f>ROUND(H12+H25-H44,0)</f>
        <v>393400633</v>
      </c>
      <c r="I46" s="496"/>
      <c r="J46" s="840">
        <f>ROUND(J12+J25-J44,0)</f>
        <v>448639491</v>
      </c>
      <c r="K46" s="186"/>
      <c r="L46" s="840">
        <f>ROUND(L12+L25-L44,0)</f>
        <v>451147552</v>
      </c>
      <c r="M46" s="184"/>
      <c r="N46" s="840">
        <f>ROUND(N12+N25-N44,0)</f>
        <v>563687827</v>
      </c>
      <c r="O46" s="186"/>
      <c r="P46" s="840">
        <f>ROUND(P12+P25-P44,0)</f>
        <v>630223825</v>
      </c>
      <c r="Q46" s="186"/>
      <c r="R46" s="840">
        <f>ROUND(R12+R25-R44,0)</f>
        <v>777376167</v>
      </c>
      <c r="S46" s="186"/>
      <c r="T46" s="840">
        <f>ROUND(T12+T25-T44,0)</f>
        <v>669485213</v>
      </c>
      <c r="U46" s="186"/>
      <c r="V46" s="840">
        <f>ROUND(V12+V25-V44,0)</f>
        <v>740592894</v>
      </c>
      <c r="W46" s="186"/>
      <c r="X46" s="840">
        <f>ROUND(X12+X25-X44,0)</f>
        <v>0</v>
      </c>
      <c r="Y46" s="186"/>
      <c r="Z46" s="840">
        <f>ROUND(Z12+Z25-Z44,0)</f>
        <v>740592894</v>
      </c>
      <c r="AA46" s="902"/>
      <c r="AB46" s="1734"/>
    </row>
    <row r="47" spans="1:28" ht="16" thickTop="1">
      <c r="A47" s="497"/>
      <c r="B47" s="494"/>
      <c r="C47" s="494"/>
      <c r="D47" s="494"/>
      <c r="E47" s="495"/>
      <c r="G47" s="495"/>
      <c r="H47" s="494"/>
      <c r="I47" s="495"/>
      <c r="J47" s="494"/>
      <c r="K47" s="494"/>
      <c r="L47" s="494"/>
      <c r="M47" s="495"/>
      <c r="N47" s="494"/>
      <c r="O47" s="495"/>
      <c r="P47" s="494"/>
      <c r="Q47" s="495"/>
      <c r="R47" s="494"/>
      <c r="S47" s="495"/>
      <c r="T47" s="494"/>
      <c r="U47" s="495"/>
      <c r="V47" s="494"/>
      <c r="W47" s="495"/>
      <c r="X47" s="494"/>
      <c r="Y47" s="495"/>
      <c r="Z47" s="615"/>
    </row>
    <row r="48" spans="1:28">
      <c r="A48" s="191"/>
      <c r="B48" s="494"/>
      <c r="C48" s="494"/>
      <c r="D48" s="494"/>
      <c r="E48" s="495"/>
      <c r="F48" s="494"/>
      <c r="G48" s="495"/>
      <c r="H48" s="494"/>
      <c r="I48" s="495"/>
      <c r="J48" s="494"/>
      <c r="K48" s="494"/>
      <c r="L48" s="494"/>
      <c r="M48" s="495"/>
      <c r="N48" s="494"/>
      <c r="O48" s="495"/>
      <c r="P48" s="494"/>
      <c r="Q48" s="495"/>
      <c r="R48" s="494"/>
      <c r="S48" s="495"/>
      <c r="T48" s="494"/>
      <c r="U48" s="495"/>
      <c r="V48" s="494"/>
      <c r="W48" s="495"/>
      <c r="X48" s="494"/>
      <c r="Y48" s="495"/>
      <c r="Z48" s="187"/>
    </row>
    <row r="49" spans="1:26">
      <c r="Z49" s="619" t="s">
        <v>103</v>
      </c>
    </row>
    <row r="50" spans="1:26" ht="17.5">
      <c r="A50" s="616"/>
      <c r="B50" s="490"/>
      <c r="C50" s="490"/>
      <c r="D50" s="490"/>
      <c r="E50" s="171"/>
      <c r="F50" s="490"/>
      <c r="G50" s="171"/>
      <c r="H50" s="490"/>
      <c r="I50" s="171"/>
      <c r="J50" s="490"/>
      <c r="K50" s="490"/>
      <c r="L50" s="490"/>
      <c r="M50" s="495"/>
      <c r="N50" s="490"/>
      <c r="O50" s="171"/>
      <c r="P50" s="490"/>
      <c r="Q50" s="171"/>
      <c r="R50" s="490"/>
      <c r="S50" s="171"/>
      <c r="T50" s="490"/>
      <c r="U50" s="171"/>
      <c r="V50" s="490"/>
      <c r="W50" s="171"/>
      <c r="X50" s="490"/>
      <c r="Y50" s="171"/>
      <c r="Z50" s="611" t="s">
        <v>103</v>
      </c>
    </row>
    <row r="51" spans="1:26">
      <c r="A51" s="493"/>
      <c r="B51" s="494"/>
      <c r="C51" s="494"/>
      <c r="D51" s="494"/>
      <c r="E51" s="495"/>
      <c r="F51" s="494"/>
      <c r="G51" s="495"/>
      <c r="H51" s="494"/>
      <c r="I51" s="495"/>
      <c r="J51" s="494"/>
      <c r="K51" s="494"/>
      <c r="L51" s="494"/>
      <c r="M51" s="495"/>
      <c r="N51" s="494"/>
      <c r="O51" s="495"/>
      <c r="P51" s="494"/>
      <c r="Q51" s="495"/>
      <c r="R51" s="494"/>
      <c r="S51" s="495"/>
      <c r="T51" s="494"/>
      <c r="U51" s="495"/>
      <c r="V51" s="494"/>
      <c r="W51" s="495"/>
      <c r="X51" s="494"/>
      <c r="Y51" s="495"/>
      <c r="Z51" s="612" t="s">
        <v>103</v>
      </c>
    </row>
    <row r="52" spans="1:26">
      <c r="A52" s="493"/>
      <c r="B52" s="494"/>
      <c r="C52" s="494"/>
      <c r="D52" s="494"/>
      <c r="E52" s="495"/>
      <c r="F52" s="494"/>
      <c r="G52" s="495"/>
      <c r="H52" s="494"/>
      <c r="I52" s="495"/>
      <c r="J52" s="494"/>
      <c r="K52" s="494"/>
      <c r="L52" s="494"/>
      <c r="M52" s="495"/>
      <c r="N52" s="494"/>
      <c r="O52" s="495"/>
      <c r="P52" s="494"/>
      <c r="Q52" s="495"/>
      <c r="R52" s="494"/>
      <c r="S52" s="495"/>
      <c r="T52" s="494"/>
      <c r="U52" s="495"/>
      <c r="V52" s="494"/>
      <c r="W52" s="495"/>
      <c r="X52" s="494"/>
      <c r="Y52" s="495"/>
      <c r="Z52" s="612" t="s">
        <v>103</v>
      </c>
    </row>
    <row r="53" spans="1:26">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617" t="s">
        <v>103</v>
      </c>
    </row>
    <row r="54" spans="1:26">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617"/>
    </row>
    <row r="55" spans="1:26">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617"/>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617"/>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617"/>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617"/>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617"/>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617"/>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617"/>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617"/>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617"/>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617"/>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617"/>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617"/>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617"/>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617"/>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617"/>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617"/>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617"/>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617"/>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617"/>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617"/>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617"/>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617"/>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617"/>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617"/>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617"/>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617"/>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617"/>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617"/>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617"/>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617"/>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617"/>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617"/>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617"/>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617"/>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617"/>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617"/>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617"/>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617"/>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617"/>
    </row>
    <row r="94" spans="1:26">
      <c r="A94" s="168"/>
      <c r="B94" s="170"/>
      <c r="C94" s="170"/>
      <c r="D94" s="170"/>
      <c r="E94" s="171"/>
      <c r="F94" s="170"/>
      <c r="G94" s="171"/>
      <c r="H94" s="170"/>
      <c r="I94" s="171"/>
      <c r="J94" s="170"/>
      <c r="K94" s="170"/>
      <c r="L94" s="170"/>
      <c r="M94" s="171"/>
      <c r="N94" s="170"/>
      <c r="O94" s="171"/>
      <c r="P94" s="170"/>
      <c r="Q94" s="171"/>
      <c r="R94" s="170"/>
      <c r="S94" s="171"/>
      <c r="T94" s="170"/>
      <c r="U94" s="171"/>
      <c r="V94" s="170"/>
      <c r="W94" s="171"/>
      <c r="X94" s="170"/>
      <c r="Y94" s="171"/>
      <c r="Z94" s="617"/>
    </row>
    <row r="95" spans="1:26">
      <c r="A95" s="168"/>
      <c r="B95" s="170"/>
      <c r="C95" s="170"/>
      <c r="D95" s="170"/>
      <c r="E95" s="171"/>
      <c r="F95" s="170"/>
      <c r="G95" s="171"/>
      <c r="H95" s="170"/>
      <c r="I95" s="171"/>
      <c r="J95" s="170"/>
      <c r="K95" s="170"/>
      <c r="L95" s="170"/>
      <c r="M95" s="171"/>
      <c r="N95" s="170"/>
      <c r="O95" s="171"/>
      <c r="P95" s="170"/>
      <c r="Q95" s="171"/>
      <c r="R95" s="170"/>
      <c r="S95" s="171"/>
      <c r="T95" s="170"/>
      <c r="U95" s="171"/>
      <c r="V95" s="170"/>
      <c r="W95" s="171"/>
      <c r="X95" s="170"/>
      <c r="Y95" s="171"/>
      <c r="Z95" s="617"/>
    </row>
  </sheetData>
  <printOptions horizontalCentered="1"/>
  <pageMargins left="0.25" right="0.25" top="0.5" bottom="0.25" header="0" footer="0.25"/>
  <pageSetup scale="38" firstPageNumber="48"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69140625" defaultRowHeight="12.5"/>
  <cols>
    <col min="1" max="1" width="54.69140625" style="385" customWidth="1"/>
    <col min="2" max="2" width="22.07421875" style="385" customWidth="1"/>
    <col min="3" max="3" width="24.69140625" style="385" customWidth="1"/>
    <col min="4" max="4" width="30.69140625" style="385" customWidth="1"/>
    <col min="5" max="5" width="2" style="385" customWidth="1"/>
    <col min="6" max="6" width="13" style="674" bestFit="1" customWidth="1"/>
    <col min="7" max="16384" width="8.69140625" style="385"/>
  </cols>
  <sheetData>
    <row r="1" spans="1:6">
      <c r="A1" s="862" t="s">
        <v>97</v>
      </c>
      <c r="B1" s="578"/>
      <c r="C1" s="578"/>
      <c r="D1" s="578"/>
      <c r="E1" s="386"/>
    </row>
    <row r="2" spans="1:6">
      <c r="A2" s="863"/>
      <c r="B2" s="578"/>
      <c r="C2" s="578"/>
      <c r="D2" s="558"/>
      <c r="E2" s="386"/>
    </row>
    <row r="3" spans="1:6" s="269" customFormat="1" ht="15.5">
      <c r="A3" s="271" t="s">
        <v>963</v>
      </c>
      <c r="B3" s="578"/>
      <c r="C3" s="578"/>
      <c r="D3" s="894" t="s">
        <v>964</v>
      </c>
      <c r="E3" s="851"/>
      <c r="F3" s="675"/>
    </row>
    <row r="4" spans="1:6" s="269" customFormat="1" ht="15.5">
      <c r="A4" s="271" t="s">
        <v>965</v>
      </c>
      <c r="B4" s="578"/>
      <c r="C4" s="578"/>
      <c r="D4" s="578"/>
      <c r="E4" s="851"/>
      <c r="F4" s="675"/>
    </row>
    <row r="5" spans="1:6" s="269" customFormat="1" ht="15.5">
      <c r="A5" s="271" t="s">
        <v>966</v>
      </c>
      <c r="B5" s="578"/>
      <c r="C5" s="578"/>
      <c r="D5" s="578"/>
      <c r="E5" s="851"/>
      <c r="F5" s="675"/>
    </row>
    <row r="6" spans="1:6" s="269" customFormat="1" ht="15.5">
      <c r="A6" s="569" t="str">
        <f>'HCRA '!A6</f>
        <v>FISCAL YEAR 2024-2025</v>
      </c>
      <c r="B6" s="578"/>
      <c r="C6" s="578"/>
      <c r="D6" s="578"/>
      <c r="E6" s="851"/>
      <c r="F6" s="675"/>
    </row>
    <row r="7" spans="1:6" ht="13">
      <c r="A7" s="569"/>
      <c r="B7" s="578"/>
      <c r="C7" s="578"/>
      <c r="D7" s="578"/>
      <c r="E7" s="386"/>
    </row>
    <row r="8" spans="1:6" ht="27" customHeight="1">
      <c r="A8" s="923" t="s">
        <v>967</v>
      </c>
      <c r="B8" s="923" t="s">
        <v>968</v>
      </c>
      <c r="C8" s="1738" t="str">
        <f>PROPER('Sch 5 '!E12)</f>
        <v>February</v>
      </c>
      <c r="D8" s="1306" t="str">
        <f>PROPER('Cashflow Governmental'!AB12)&amp;" (**)"</f>
        <v>11 Months Ended February 28 (**)</v>
      </c>
      <c r="E8" s="852"/>
    </row>
    <row r="9" spans="1:6" s="269" customFormat="1" ht="13">
      <c r="A9" s="935" t="s">
        <v>969</v>
      </c>
      <c r="B9" s="941">
        <v>7680000</v>
      </c>
      <c r="C9" s="941">
        <v>223890.13</v>
      </c>
      <c r="D9" s="941">
        <v>3099747.24</v>
      </c>
      <c r="E9" s="597"/>
      <c r="F9" s="675"/>
    </row>
    <row r="10" spans="1:6" s="269" customFormat="1" ht="15.5">
      <c r="A10" s="930" t="s">
        <v>970</v>
      </c>
      <c r="B10" s="352">
        <v>7680000</v>
      </c>
      <c r="C10" s="352">
        <v>223890.13</v>
      </c>
      <c r="D10" s="352">
        <v>3099747.24</v>
      </c>
      <c r="E10" s="853"/>
      <c r="F10" s="675"/>
    </row>
    <row r="11" spans="1:6" s="269" customFormat="1" ht="13">
      <c r="A11" s="935" t="s">
        <v>971</v>
      </c>
      <c r="B11" s="936">
        <v>4291974000</v>
      </c>
      <c r="C11" s="936">
        <v>84167168.589999989</v>
      </c>
      <c r="D11" s="936">
        <v>1328313841.8699999</v>
      </c>
      <c r="E11" s="597"/>
      <c r="F11" s="675"/>
    </row>
    <row r="12" spans="1:6" s="269" customFormat="1">
      <c r="A12" s="930" t="s">
        <v>972</v>
      </c>
      <c r="B12" s="352">
        <v>4291974000</v>
      </c>
      <c r="C12" s="352">
        <v>84167168.589999989</v>
      </c>
      <c r="D12" s="352">
        <v>1328313841.8699999</v>
      </c>
      <c r="E12" s="597"/>
      <c r="F12" s="675"/>
    </row>
    <row r="13" spans="1:6" s="269" customFormat="1" ht="13">
      <c r="A13" s="935" t="s">
        <v>973</v>
      </c>
      <c r="B13" s="936">
        <v>306151000</v>
      </c>
      <c r="C13" s="936">
        <v>4108320</v>
      </c>
      <c r="D13" s="936">
        <v>51385448.979999997</v>
      </c>
      <c r="E13" s="597"/>
      <c r="F13" s="675"/>
    </row>
    <row r="14" spans="1:6" s="269" customFormat="1">
      <c r="A14" s="930" t="s">
        <v>974</v>
      </c>
      <c r="B14" s="352">
        <v>306151000</v>
      </c>
      <c r="C14" s="352">
        <v>4108320</v>
      </c>
      <c r="D14" s="352">
        <v>51385448.979999997</v>
      </c>
      <c r="E14" s="597"/>
      <c r="F14" s="675"/>
    </row>
    <row r="15" spans="1:6" s="269" customFormat="1" ht="13">
      <c r="A15" s="935" t="s">
        <v>975</v>
      </c>
      <c r="B15" s="936">
        <v>1645838059.03</v>
      </c>
      <c r="C15" s="936">
        <v>3542293.81</v>
      </c>
      <c r="D15" s="936">
        <v>332740399.95999998</v>
      </c>
      <c r="E15" s="597"/>
      <c r="F15" s="675"/>
    </row>
    <row r="16" spans="1:6" s="269" customFormat="1">
      <c r="A16" s="930" t="s">
        <v>976</v>
      </c>
      <c r="B16" s="352">
        <v>132750000</v>
      </c>
      <c r="C16" s="352">
        <v>0</v>
      </c>
      <c r="D16" s="352">
        <v>-1293542</v>
      </c>
      <c r="E16" s="597"/>
      <c r="F16" s="675"/>
    </row>
    <row r="17" spans="1:6" s="269" customFormat="1" ht="13">
      <c r="A17" s="935" t="s">
        <v>977</v>
      </c>
      <c r="B17" s="936">
        <v>3537000</v>
      </c>
      <c r="C17" s="936">
        <v>0</v>
      </c>
      <c r="D17" s="936">
        <v>0</v>
      </c>
      <c r="E17" s="597"/>
      <c r="F17" s="675"/>
    </row>
    <row r="18" spans="1:6" s="269" customFormat="1">
      <c r="A18" s="930" t="s">
        <v>978</v>
      </c>
      <c r="B18" s="352">
        <v>9262000</v>
      </c>
      <c r="C18" s="352">
        <v>91382.78</v>
      </c>
      <c r="D18" s="352">
        <v>2094984.83</v>
      </c>
      <c r="E18" s="597"/>
      <c r="F18" s="675"/>
    </row>
    <row r="19" spans="1:6" s="269" customFormat="1">
      <c r="A19" s="930" t="s">
        <v>979</v>
      </c>
      <c r="B19" s="352">
        <v>46040600</v>
      </c>
      <c r="C19" s="352">
        <v>0</v>
      </c>
      <c r="D19" s="352">
        <v>193385.82</v>
      </c>
      <c r="E19" s="597"/>
      <c r="F19" s="675"/>
    </row>
    <row r="20" spans="1:6" s="269" customFormat="1">
      <c r="A20" s="930" t="s">
        <v>980</v>
      </c>
      <c r="B20" s="352">
        <v>108800000</v>
      </c>
      <c r="C20" s="352">
        <v>0</v>
      </c>
      <c r="D20" s="352">
        <v>41250012</v>
      </c>
      <c r="E20" s="597"/>
      <c r="F20" s="675"/>
    </row>
    <row r="21" spans="1:6" s="269" customFormat="1">
      <c r="A21" s="930" t="s">
        <v>981</v>
      </c>
      <c r="B21" s="352">
        <v>5238000</v>
      </c>
      <c r="C21" s="352">
        <v>0</v>
      </c>
      <c r="D21" s="352">
        <v>2031907.0700000003</v>
      </c>
      <c r="E21" s="597"/>
      <c r="F21" s="675"/>
    </row>
    <row r="22" spans="1:6" s="269" customFormat="1">
      <c r="A22" s="930" t="s">
        <v>982</v>
      </c>
      <c r="B22" s="352">
        <v>6890000</v>
      </c>
      <c r="C22" s="352">
        <v>0</v>
      </c>
      <c r="D22" s="352">
        <v>0</v>
      </c>
      <c r="E22" s="597"/>
      <c r="F22" s="675"/>
    </row>
    <row r="23" spans="1:6" s="269" customFormat="1">
      <c r="A23" s="930" t="s">
        <v>983</v>
      </c>
      <c r="B23" s="352">
        <v>9727000</v>
      </c>
      <c r="C23" s="352">
        <v>34097.75</v>
      </c>
      <c r="D23" s="352">
        <v>695063.66</v>
      </c>
      <c r="E23" s="597"/>
      <c r="F23" s="675"/>
    </row>
    <row r="24" spans="1:6" s="269" customFormat="1">
      <c r="A24" s="930" t="s">
        <v>984</v>
      </c>
      <c r="B24" s="352">
        <v>39200000</v>
      </c>
      <c r="C24" s="352">
        <v>0</v>
      </c>
      <c r="D24" s="352">
        <v>19600000</v>
      </c>
      <c r="E24" s="597"/>
      <c r="F24" s="675"/>
    </row>
    <row r="25" spans="1:6" s="269" customFormat="1">
      <c r="A25" s="930" t="s">
        <v>985</v>
      </c>
      <c r="B25" s="352">
        <v>18320000</v>
      </c>
      <c r="C25" s="352">
        <v>0</v>
      </c>
      <c r="D25" s="352">
        <v>0</v>
      </c>
      <c r="E25" s="597"/>
      <c r="F25" s="675"/>
    </row>
    <row r="26" spans="1:6" s="269" customFormat="1">
      <c r="A26" s="930" t="s">
        <v>986</v>
      </c>
      <c r="B26" s="352">
        <v>7644000</v>
      </c>
      <c r="C26" s="352">
        <v>174012.68</v>
      </c>
      <c r="D26" s="352">
        <v>677634.34000000008</v>
      </c>
      <c r="E26" s="597"/>
      <c r="F26" s="675"/>
    </row>
    <row r="27" spans="1:6" s="269" customFormat="1">
      <c r="A27" s="930" t="s">
        <v>987</v>
      </c>
      <c r="B27" s="352">
        <v>162000000</v>
      </c>
      <c r="C27" s="352">
        <v>0</v>
      </c>
      <c r="D27" s="352">
        <v>110000000</v>
      </c>
      <c r="E27" s="386"/>
      <c r="F27" s="675"/>
    </row>
    <row r="28" spans="1:6" s="269" customFormat="1">
      <c r="A28" s="930" t="s">
        <v>988</v>
      </c>
      <c r="B28" s="352">
        <v>8500000</v>
      </c>
      <c r="C28" s="352">
        <v>29969.01</v>
      </c>
      <c r="D28" s="352">
        <v>1006448.91</v>
      </c>
      <c r="E28" s="386"/>
      <c r="F28" s="675"/>
    </row>
    <row r="29" spans="1:6">
      <c r="A29" s="930" t="s">
        <v>989</v>
      </c>
      <c r="B29" s="352">
        <v>50240000</v>
      </c>
      <c r="C29" s="352">
        <v>130128.48000000001</v>
      </c>
      <c r="D29" s="352">
        <v>1460918.56</v>
      </c>
      <c r="E29" s="386"/>
    </row>
    <row r="30" spans="1:6">
      <c r="A30" s="930" t="s">
        <v>990</v>
      </c>
      <c r="B30" s="352">
        <v>1775000</v>
      </c>
      <c r="C30" s="352">
        <v>0</v>
      </c>
      <c r="D30" s="352">
        <v>0</v>
      </c>
      <c r="E30" s="386"/>
    </row>
    <row r="31" spans="1:6">
      <c r="A31" s="930" t="s">
        <v>991</v>
      </c>
      <c r="B31" s="352">
        <v>262100000</v>
      </c>
      <c r="C31" s="352">
        <v>0</v>
      </c>
      <c r="D31" s="352">
        <v>77997467</v>
      </c>
      <c r="E31" s="386"/>
    </row>
    <row r="32" spans="1:6">
      <c r="A32" s="930" t="s">
        <v>992</v>
      </c>
      <c r="B32" s="352">
        <v>83852000</v>
      </c>
      <c r="C32" s="352">
        <v>867702</v>
      </c>
      <c r="D32" s="352">
        <v>7554806.0899999999</v>
      </c>
      <c r="E32" s="386"/>
    </row>
    <row r="33" spans="1:5" ht="13">
      <c r="A33" s="930" t="s">
        <v>993</v>
      </c>
      <c r="B33" s="352">
        <v>974000</v>
      </c>
      <c r="C33" s="352">
        <v>266540.93</v>
      </c>
      <c r="D33" s="352">
        <v>488400.93</v>
      </c>
      <c r="E33" s="854"/>
    </row>
    <row r="34" spans="1:5">
      <c r="A34" s="930" t="s">
        <v>994</v>
      </c>
      <c r="B34" s="352">
        <v>11120000</v>
      </c>
      <c r="C34" s="352">
        <v>0</v>
      </c>
      <c r="D34" s="352">
        <v>0</v>
      </c>
      <c r="E34" s="386"/>
    </row>
    <row r="35" spans="1:5">
      <c r="A35" s="930" t="s">
        <v>995</v>
      </c>
      <c r="B35" s="352">
        <v>5586000</v>
      </c>
      <c r="C35" s="352">
        <v>0</v>
      </c>
      <c r="D35" s="352">
        <v>2005044.86</v>
      </c>
      <c r="E35" s="386"/>
    </row>
    <row r="36" spans="1:5">
      <c r="A36" s="930" t="s">
        <v>996</v>
      </c>
      <c r="B36" s="352">
        <v>110926000</v>
      </c>
      <c r="C36" s="352">
        <v>0</v>
      </c>
      <c r="D36" s="352">
        <v>55463000</v>
      </c>
      <c r="E36" s="386"/>
    </row>
    <row r="37" spans="1:5">
      <c r="A37" s="930" t="s">
        <v>997</v>
      </c>
      <c r="B37" s="352">
        <v>50000</v>
      </c>
      <c r="C37" s="352">
        <v>0</v>
      </c>
      <c r="D37" s="352">
        <v>0</v>
      </c>
      <c r="E37" s="386"/>
    </row>
    <row r="38" spans="1:5">
      <c r="A38" s="930" t="s">
        <v>998</v>
      </c>
      <c r="B38" s="352">
        <v>15950000</v>
      </c>
      <c r="C38" s="352">
        <v>0</v>
      </c>
      <c r="D38" s="352">
        <v>0</v>
      </c>
      <c r="E38" s="386"/>
    </row>
    <row r="39" spans="1:5">
      <c r="A39" s="930" t="s">
        <v>999</v>
      </c>
      <c r="B39" s="352">
        <v>28230000</v>
      </c>
      <c r="C39" s="352">
        <v>1865382.18</v>
      </c>
      <c r="D39" s="352">
        <v>8570823.5499999989</v>
      </c>
      <c r="E39" s="386"/>
    </row>
    <row r="40" spans="1:5">
      <c r="A40" s="930" t="s">
        <v>1000</v>
      </c>
      <c r="B40" s="352">
        <v>3300400</v>
      </c>
      <c r="C40" s="352">
        <v>83078</v>
      </c>
      <c r="D40" s="352">
        <v>829044.34</v>
      </c>
      <c r="E40" s="386"/>
    </row>
    <row r="41" spans="1:5">
      <c r="A41" s="930" t="s">
        <v>1001</v>
      </c>
      <c r="B41" s="352">
        <v>11610000</v>
      </c>
      <c r="C41" s="352">
        <v>0</v>
      </c>
      <c r="D41" s="352">
        <v>0</v>
      </c>
      <c r="E41" s="386"/>
    </row>
    <row r="42" spans="1:5">
      <c r="A42" s="930" t="s">
        <v>1002</v>
      </c>
      <c r="B42" s="352">
        <v>4230000</v>
      </c>
      <c r="C42" s="352">
        <v>0</v>
      </c>
      <c r="D42" s="352">
        <v>2115000</v>
      </c>
      <c r="E42" s="386"/>
    </row>
    <row r="43" spans="1:5">
      <c r="A43" s="930" t="s">
        <v>1003</v>
      </c>
      <c r="B43" s="352">
        <v>8460000</v>
      </c>
      <c r="C43" s="352">
        <v>0</v>
      </c>
      <c r="D43" s="352">
        <v>0</v>
      </c>
      <c r="E43" s="386"/>
    </row>
    <row r="44" spans="1:5">
      <c r="A44" s="930" t="s">
        <v>1004</v>
      </c>
      <c r="B44" s="352">
        <v>489526059.02999997</v>
      </c>
      <c r="C44" s="352">
        <v>0</v>
      </c>
      <c r="D44" s="352">
        <v>0</v>
      </c>
      <c r="E44" s="386"/>
    </row>
    <row r="45" spans="1:5" ht="13">
      <c r="A45" s="935" t="s">
        <v>1005</v>
      </c>
      <c r="B45" s="936">
        <v>25401343000</v>
      </c>
      <c r="C45" s="936">
        <v>474700000</v>
      </c>
      <c r="D45" s="936">
        <v>4478364596.4200001</v>
      </c>
      <c r="E45" s="386"/>
    </row>
    <row r="46" spans="1:5">
      <c r="A46" s="930" t="s">
        <v>1006</v>
      </c>
      <c r="B46" s="352">
        <v>250000000</v>
      </c>
      <c r="C46" s="352">
        <v>44300000</v>
      </c>
      <c r="D46" s="352">
        <v>44300000</v>
      </c>
      <c r="E46" s="386"/>
    </row>
    <row r="47" spans="1:5">
      <c r="A47" s="930" t="s">
        <v>1007</v>
      </c>
      <c r="B47" s="352">
        <v>3326300000</v>
      </c>
      <c r="C47" s="352">
        <v>0</v>
      </c>
      <c r="D47" s="352">
        <v>453664596.42000002</v>
      </c>
      <c r="E47" s="386"/>
    </row>
    <row r="48" spans="1:5">
      <c r="A48" s="930" t="s">
        <v>1008</v>
      </c>
      <c r="B48" s="352">
        <v>21089043000</v>
      </c>
      <c r="C48" s="352">
        <v>300000000</v>
      </c>
      <c r="D48" s="352">
        <v>3850000000</v>
      </c>
      <c r="E48" s="386"/>
    </row>
    <row r="49" spans="1:6">
      <c r="A49" s="930" t="s">
        <v>1009</v>
      </c>
      <c r="B49" s="352">
        <v>680000000</v>
      </c>
      <c r="C49" s="352">
        <v>120500000</v>
      </c>
      <c r="D49" s="352">
        <v>120500000</v>
      </c>
      <c r="E49" s="386"/>
    </row>
    <row r="50" spans="1:6">
      <c r="A50" s="930" t="s">
        <v>1010</v>
      </c>
      <c r="B50" s="352">
        <v>56000000</v>
      </c>
      <c r="C50" s="352">
        <v>9900000</v>
      </c>
      <c r="D50" s="352">
        <v>9900000</v>
      </c>
      <c r="E50" s="386"/>
    </row>
    <row r="51" spans="1:6" ht="13">
      <c r="A51" s="935" t="s">
        <v>1011</v>
      </c>
      <c r="B51" s="936">
        <v>92975000</v>
      </c>
      <c r="C51" s="936">
        <v>2946714.4</v>
      </c>
      <c r="D51" s="936">
        <v>25103563.48</v>
      </c>
      <c r="E51" s="386"/>
    </row>
    <row r="52" spans="1:6">
      <c r="A52" s="930" t="s">
        <v>1012</v>
      </c>
      <c r="B52" s="352">
        <v>92975000</v>
      </c>
      <c r="C52" s="352">
        <v>2946714.4</v>
      </c>
      <c r="D52" s="352">
        <v>25103563.48</v>
      </c>
      <c r="E52" s="386"/>
    </row>
    <row r="53" spans="1:6" ht="13">
      <c r="A53" s="935" t="s">
        <v>1013</v>
      </c>
      <c r="B53" s="936">
        <v>1834000</v>
      </c>
      <c r="C53" s="936">
        <v>0</v>
      </c>
      <c r="D53" s="936">
        <v>0</v>
      </c>
      <c r="E53" s="386"/>
    </row>
    <row r="54" spans="1:6">
      <c r="A54" s="930" t="s">
        <v>1014</v>
      </c>
      <c r="B54" s="352">
        <v>1834000</v>
      </c>
      <c r="C54" s="352">
        <v>0</v>
      </c>
      <c r="D54" s="352">
        <v>0</v>
      </c>
      <c r="E54" s="386"/>
    </row>
    <row r="55" spans="1:6" ht="13">
      <c r="A55" s="935" t="s">
        <v>1015</v>
      </c>
      <c r="B55" s="936">
        <v>84382000</v>
      </c>
      <c r="C55" s="936">
        <v>816098.25</v>
      </c>
      <c r="D55" s="936">
        <v>14095557.959999999</v>
      </c>
      <c r="E55" s="386"/>
    </row>
    <row r="56" spans="1:6">
      <c r="A56" s="930" t="s">
        <v>1016</v>
      </c>
      <c r="B56" s="352">
        <v>84382000</v>
      </c>
      <c r="C56" s="352">
        <v>816098.25</v>
      </c>
      <c r="D56" s="352">
        <v>14095557.959999999</v>
      </c>
      <c r="E56" s="386"/>
    </row>
    <row r="57" spans="1:6" ht="13">
      <c r="A57" s="935" t="s">
        <v>1017</v>
      </c>
      <c r="B57" s="936">
        <v>8545000</v>
      </c>
      <c r="C57" s="936">
        <v>707660.6</v>
      </c>
      <c r="D57" s="936">
        <v>3983608.1999999997</v>
      </c>
      <c r="E57" s="386"/>
    </row>
    <row r="58" spans="1:6">
      <c r="A58" s="930" t="s">
        <v>1017</v>
      </c>
      <c r="B58" s="352">
        <v>8545000</v>
      </c>
      <c r="C58" s="352">
        <v>707660.6</v>
      </c>
      <c r="D58" s="352">
        <v>3983608.1999999997</v>
      </c>
      <c r="E58" s="386"/>
    </row>
    <row r="59" spans="1:6" ht="13">
      <c r="A59" s="951" t="s">
        <v>1018</v>
      </c>
      <c r="B59" s="953">
        <v>31840722059.029999</v>
      </c>
      <c r="C59" s="953">
        <v>571212145.77999997</v>
      </c>
      <c r="D59" s="953">
        <v>6237086764.1099997</v>
      </c>
      <c r="E59" s="386"/>
    </row>
    <row r="60" spans="1:6" ht="15" customHeight="1">
      <c r="A60" s="931" t="s">
        <v>1019</v>
      </c>
      <c r="B60" s="952"/>
      <c r="C60" s="924">
        <v>-41308.959999999999</v>
      </c>
      <c r="D60" s="924">
        <v>-1525673.51</v>
      </c>
      <c r="E60" s="386"/>
      <c r="F60" s="674" t="s">
        <v>103</v>
      </c>
    </row>
    <row r="61" spans="1:6" ht="15.65" customHeight="1">
      <c r="A61" s="931" t="s">
        <v>1020</v>
      </c>
      <c r="B61" s="952"/>
      <c r="C61" s="924">
        <v>0</v>
      </c>
      <c r="D61" s="924">
        <v>0</v>
      </c>
      <c r="E61" s="386"/>
    </row>
    <row r="62" spans="1:6" ht="12.75" customHeight="1">
      <c r="A62" s="931" t="s">
        <v>1021</v>
      </c>
      <c r="B62" s="924"/>
      <c r="C62" s="924">
        <v>0</v>
      </c>
      <c r="D62" s="924">
        <v>0</v>
      </c>
      <c r="E62" s="855"/>
    </row>
    <row r="63" spans="1:6">
      <c r="A63" s="931" t="s">
        <v>1022</v>
      </c>
      <c r="B63" s="924"/>
      <c r="C63" s="924">
        <v>-326.68</v>
      </c>
      <c r="D63" s="924">
        <v>-916.01</v>
      </c>
      <c r="E63" s="386"/>
    </row>
    <row r="64" spans="1:6" ht="13.5" thickBot="1">
      <c r="A64" s="925" t="s">
        <v>1023</v>
      </c>
      <c r="B64" s="1305">
        <v>31840722059.029999</v>
      </c>
      <c r="C64" s="1305">
        <v>571170510.13999999</v>
      </c>
      <c r="D64" s="1305">
        <v>6235560174.5899992</v>
      </c>
      <c r="E64" s="386"/>
    </row>
    <row r="65" spans="1:5" ht="13" thickTop="1">
      <c r="A65" s="578"/>
      <c r="B65" s="924"/>
      <c r="C65" s="924"/>
      <c r="D65" s="924"/>
      <c r="E65" s="386"/>
    </row>
    <row r="66" spans="1:5">
      <c r="A66" s="926" t="s">
        <v>1482</v>
      </c>
      <c r="B66" s="578"/>
      <c r="C66" s="578"/>
      <c r="D66" s="578"/>
      <c r="E66" s="386"/>
    </row>
    <row r="67" spans="1:5">
      <c r="A67" s="926" t="s">
        <v>1024</v>
      </c>
      <c r="B67" s="578"/>
      <c r="C67" s="578"/>
      <c r="D67" s="578"/>
      <c r="E67" s="386"/>
    </row>
    <row r="68" spans="1:5" ht="13.4" customHeight="1">
      <c r="A68" s="927" t="s">
        <v>1025</v>
      </c>
      <c r="B68" s="578"/>
      <c r="C68" s="578"/>
      <c r="D68" s="578"/>
    </row>
    <row r="69" spans="1:5" ht="12.75" customHeight="1">
      <c r="A69" s="928" t="s">
        <v>1026</v>
      </c>
      <c r="B69" s="578"/>
      <c r="C69" s="578"/>
      <c r="D69" s="929"/>
    </row>
    <row r="70" spans="1:5">
      <c r="A70" s="928" t="s">
        <v>1027</v>
      </c>
      <c r="B70" s="578"/>
      <c r="C70" s="578"/>
      <c r="D70" s="924"/>
    </row>
    <row r="71" spans="1:5">
      <c r="B71" s="387"/>
      <c r="C71" s="387"/>
    </row>
    <row r="72" spans="1:5">
      <c r="C72" s="924"/>
      <c r="D72" s="924"/>
    </row>
    <row r="73" spans="1:5">
      <c r="C73" s="924"/>
      <c r="D73" s="924"/>
    </row>
    <row r="74" spans="1:5">
      <c r="C74" s="924"/>
      <c r="D74" s="924"/>
    </row>
    <row r="75" spans="1:5">
      <c r="C75" s="964"/>
      <c r="D75" s="964"/>
    </row>
    <row r="76" spans="1:5" ht="12.75" customHeight="1">
      <c r="C76" s="924"/>
      <c r="D76" s="924"/>
    </row>
    <row r="77" spans="1:5" ht="12.75" customHeight="1">
      <c r="C77" s="924" t="s">
        <v>103</v>
      </c>
    </row>
    <row r="78" spans="1:5" ht="12.75" customHeight="1"/>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53"/>
  <sheetViews>
    <sheetView showGridLines="0" zoomScale="90" zoomScaleNormal="90" workbookViewId="0"/>
  </sheetViews>
  <sheetFormatPr defaultColWidth="8.69140625" defaultRowHeight="15" customHeight="1"/>
  <cols>
    <col min="1" max="1" width="55.07421875" style="451" customWidth="1"/>
    <col min="2" max="2" width="4.69140625" style="451" customWidth="1"/>
    <col min="3" max="3" width="1.69140625" style="452" customWidth="1"/>
    <col min="4" max="4" width="20.69140625" style="452" customWidth="1"/>
    <col min="5" max="5" width="1.69140625" style="452" customWidth="1"/>
    <col min="6" max="6" width="20.69140625" style="452" customWidth="1"/>
    <col min="7" max="7" width="1.69140625" style="452" customWidth="1"/>
    <col min="8" max="8" width="20.69140625" style="452" customWidth="1"/>
    <col min="9" max="9" width="1.69140625" style="452" customWidth="1"/>
    <col min="10" max="10" width="20.69140625" style="452" customWidth="1"/>
    <col min="11" max="11" width="1.84375" style="452" customWidth="1"/>
    <col min="12" max="12" width="20.69140625" style="452" customWidth="1"/>
    <col min="13" max="14" width="1.69140625" style="452" customWidth="1"/>
    <col min="15" max="15" width="20.69140625" style="452" customWidth="1"/>
    <col min="16" max="16" width="8.69140625" style="452"/>
    <col min="17" max="17" width="20.69140625" style="451" customWidth="1"/>
    <col min="18" max="16384" width="8.69140625" style="451"/>
  </cols>
  <sheetData>
    <row r="1" spans="1:17" ht="15" customHeight="1">
      <c r="A1" s="275" t="s">
        <v>97</v>
      </c>
    </row>
    <row r="2" spans="1:17" ht="15" customHeight="1">
      <c r="A2" s="474"/>
    </row>
    <row r="3" spans="1:17" ht="15" customHeight="1">
      <c r="O3" s="516" t="s">
        <v>1028</v>
      </c>
    </row>
    <row r="4" spans="1:17" ht="19.5" customHeight="1">
      <c r="A4" s="517" t="s">
        <v>963</v>
      </c>
      <c r="B4" s="466"/>
      <c r="C4" s="466"/>
      <c r="D4" s="466"/>
      <c r="E4" s="466"/>
      <c r="F4" s="466"/>
      <c r="G4" s="466"/>
      <c r="H4" s="466"/>
      <c r="I4" s="466"/>
      <c r="J4" s="466"/>
      <c r="K4" s="466"/>
      <c r="L4" s="466"/>
      <c r="M4" s="466"/>
      <c r="N4" s="518"/>
      <c r="O4" s="518"/>
    </row>
    <row r="5" spans="1:17" ht="19.5" customHeight="1">
      <c r="A5" s="517" t="s">
        <v>1029</v>
      </c>
      <c r="B5" s="517"/>
      <c r="C5" s="517"/>
      <c r="D5" s="517"/>
      <c r="E5" s="517"/>
      <c r="F5" s="517"/>
      <c r="G5" s="517"/>
      <c r="H5" s="517"/>
      <c r="I5" s="517"/>
      <c r="J5" s="517"/>
      <c r="K5" s="517"/>
      <c r="L5" s="517"/>
      <c r="M5" s="517"/>
      <c r="N5" s="517"/>
      <c r="O5" s="517"/>
    </row>
    <row r="6" spans="1:17" ht="19.5" customHeight="1">
      <c r="A6" s="517" t="str">
        <f>'HCRA PROG DISB'!A6</f>
        <v>FISCAL YEAR 2024-2025</v>
      </c>
      <c r="B6" s="677"/>
      <c r="C6" s="677"/>
      <c r="D6" s="677"/>
      <c r="E6" s="677"/>
      <c r="F6" s="677"/>
      <c r="G6" s="677"/>
      <c r="H6" s="677"/>
      <c r="I6" s="677"/>
      <c r="J6" s="677"/>
      <c r="K6" s="677"/>
      <c r="L6" s="677"/>
      <c r="M6" s="677"/>
      <c r="N6" s="517"/>
      <c r="O6" s="517"/>
    </row>
    <row r="7" spans="1:17" ht="15" customHeight="1">
      <c r="A7" s="678"/>
      <c r="B7" s="678"/>
      <c r="C7" s="678"/>
      <c r="D7" s="678"/>
      <c r="E7" s="678"/>
      <c r="F7" s="678"/>
      <c r="G7" s="678"/>
      <c r="H7" s="678"/>
      <c r="I7" s="678"/>
      <c r="J7" s="678"/>
      <c r="K7" s="678"/>
      <c r="L7" s="678"/>
      <c r="M7" s="678"/>
      <c r="N7" s="519"/>
      <c r="O7" s="519"/>
    </row>
    <row r="8" spans="1:17" ht="15" customHeight="1">
      <c r="A8" s="475"/>
      <c r="B8" s="476"/>
      <c r="C8" s="477"/>
      <c r="D8" s="457"/>
      <c r="E8" s="457"/>
      <c r="F8" s="477"/>
      <c r="G8" s="457"/>
      <c r="H8" s="477"/>
      <c r="I8" s="477"/>
      <c r="J8" s="477"/>
      <c r="K8" s="477"/>
      <c r="L8" s="477"/>
      <c r="M8" s="477"/>
      <c r="N8" s="520"/>
      <c r="O8" s="461"/>
    </row>
    <row r="9" spans="1:17" s="460" customFormat="1" ht="15" customHeight="1">
      <c r="A9" s="458"/>
      <c r="B9" s="458"/>
      <c r="C9" s="594"/>
      <c r="D9" s="594" t="s">
        <v>1531</v>
      </c>
      <c r="E9" s="594"/>
      <c r="F9" s="594" t="s">
        <v>1551</v>
      </c>
      <c r="G9" s="594"/>
      <c r="H9" s="594" t="s">
        <v>1573</v>
      </c>
      <c r="I9" s="594"/>
      <c r="J9" s="594">
        <v>2025</v>
      </c>
      <c r="K9" s="594"/>
      <c r="L9" s="594">
        <v>2025</v>
      </c>
      <c r="M9" s="594"/>
      <c r="N9" s="459"/>
      <c r="O9" s="459"/>
      <c r="P9" s="459"/>
    </row>
    <row r="10" spans="1:17" ht="15" customHeight="1">
      <c r="C10" s="461"/>
      <c r="D10" s="1280" t="s">
        <v>1532</v>
      </c>
      <c r="E10" s="461"/>
      <c r="F10" s="1280" t="s">
        <v>1552</v>
      </c>
      <c r="G10" s="461"/>
      <c r="H10" s="1280" t="s">
        <v>1574</v>
      </c>
      <c r="I10" s="461"/>
      <c r="J10" s="1280" t="s">
        <v>345</v>
      </c>
      <c r="K10" s="461"/>
      <c r="L10" s="1280" t="s">
        <v>346</v>
      </c>
      <c r="M10" s="461"/>
      <c r="O10" s="461" t="str">
        <f>RIGHT(A6,9)</f>
        <v>2024-2025</v>
      </c>
    </row>
    <row r="11" spans="1:17" ht="15" customHeight="1">
      <c r="O11" s="636"/>
    </row>
    <row r="12" spans="1:17" s="460" customFormat="1" ht="15" customHeight="1">
      <c r="A12" s="460" t="s">
        <v>937</v>
      </c>
      <c r="C12" s="462"/>
      <c r="D12" s="462">
        <v>338356206.64999998</v>
      </c>
      <c r="E12" s="462"/>
      <c r="F12" s="462">
        <f>+D50</f>
        <v>307430393.30000001</v>
      </c>
      <c r="G12" s="462"/>
      <c r="H12" s="462">
        <f>+F50</f>
        <v>460840773.06</v>
      </c>
      <c r="I12" s="462"/>
      <c r="J12" s="462">
        <f>+H50</f>
        <v>331020092.64999998</v>
      </c>
      <c r="K12" s="462"/>
      <c r="L12" s="462">
        <f>+J50</f>
        <v>526403511.06999999</v>
      </c>
      <c r="M12" s="462"/>
      <c r="N12" s="478"/>
      <c r="O12" s="462">
        <f>D12</f>
        <v>338356206.64999998</v>
      </c>
      <c r="P12" s="459"/>
    </row>
    <row r="13" spans="1:17" ht="15" customHeight="1">
      <c r="A13" s="460"/>
      <c r="N13" s="479"/>
      <c r="O13" s="465"/>
    </row>
    <row r="14" spans="1:17" ht="15" customHeight="1">
      <c r="A14" s="460" t="s">
        <v>114</v>
      </c>
      <c r="C14" s="465"/>
      <c r="D14" s="465"/>
      <c r="E14" s="465"/>
      <c r="F14" s="465"/>
      <c r="G14" s="465"/>
      <c r="H14" s="465"/>
      <c r="I14" s="465"/>
      <c r="J14" s="465"/>
      <c r="K14" s="465"/>
      <c r="L14" s="465"/>
      <c r="M14" s="465"/>
      <c r="N14" s="480"/>
      <c r="O14" s="465"/>
    </row>
    <row r="15" spans="1:17" ht="15" customHeight="1">
      <c r="A15" s="451" t="s">
        <v>1030</v>
      </c>
      <c r="C15" s="465"/>
      <c r="D15" s="465">
        <v>1248528293.23</v>
      </c>
      <c r="E15" s="465"/>
      <c r="F15" s="1368">
        <v>1336315832.3599999</v>
      </c>
      <c r="G15" s="465"/>
      <c r="H15" s="1368">
        <v>1277432642.4000001</v>
      </c>
      <c r="I15" s="1368"/>
      <c r="J15" s="1368">
        <v>436881073.89999998</v>
      </c>
      <c r="K15" s="1368"/>
      <c r="L15" s="1368">
        <v>307442999.56</v>
      </c>
      <c r="M15" s="1373"/>
      <c r="N15" s="480"/>
      <c r="O15" s="465">
        <f t="shared" ref="O15:O21" si="0">SUM(D15:N15)</f>
        <v>4606600841.4500008</v>
      </c>
      <c r="Q15" s="465"/>
    </row>
    <row r="16" spans="1:17" ht="15" customHeight="1">
      <c r="A16" s="451" t="s">
        <v>1031</v>
      </c>
      <c r="C16" s="465"/>
      <c r="D16" s="465">
        <v>286323309.86000001</v>
      </c>
      <c r="E16" s="465"/>
      <c r="F16" s="1368">
        <v>331090499.76999998</v>
      </c>
      <c r="G16" s="465"/>
      <c r="H16" s="1368">
        <v>287704886.14999998</v>
      </c>
      <c r="I16" s="1368"/>
      <c r="J16" s="1368">
        <v>104470708.25</v>
      </c>
      <c r="K16" s="1368"/>
      <c r="L16" s="1368">
        <v>58026613.979999997</v>
      </c>
      <c r="M16" s="1373"/>
      <c r="N16" s="480"/>
      <c r="O16" s="465">
        <f t="shared" si="0"/>
        <v>1067616018.01</v>
      </c>
      <c r="Q16" s="465"/>
    </row>
    <row r="17" spans="1:17" ht="15" customHeight="1">
      <c r="A17" s="451" t="s">
        <v>1032</v>
      </c>
      <c r="C17" s="465"/>
      <c r="D17" s="465">
        <v>29282648.960000001</v>
      </c>
      <c r="E17" s="465"/>
      <c r="F17" s="1368">
        <v>31548243.300000001</v>
      </c>
      <c r="G17" s="465"/>
      <c r="H17" s="1368">
        <v>29884889.420000002</v>
      </c>
      <c r="I17" s="1368"/>
      <c r="J17" s="1368">
        <v>8491591.75</v>
      </c>
      <c r="K17" s="1368"/>
      <c r="L17" s="1368">
        <v>6460500.5700000003</v>
      </c>
      <c r="M17" s="1373"/>
      <c r="N17" s="480"/>
      <c r="O17" s="465">
        <f t="shared" si="0"/>
        <v>105667874</v>
      </c>
      <c r="Q17" s="465"/>
    </row>
    <row r="18" spans="1:17" ht="15" customHeight="1">
      <c r="A18" s="451" t="s">
        <v>1033</v>
      </c>
      <c r="C18" s="465"/>
      <c r="D18" s="465">
        <v>126219692</v>
      </c>
      <c r="E18" s="465"/>
      <c r="F18" s="1368">
        <v>142985210.19999999</v>
      </c>
      <c r="G18" s="465"/>
      <c r="H18" s="1368">
        <v>146660396</v>
      </c>
      <c r="I18" s="1368"/>
      <c r="J18" s="1368">
        <v>44183809</v>
      </c>
      <c r="K18" s="1368"/>
      <c r="L18" s="1368">
        <v>42853436</v>
      </c>
      <c r="M18" s="1373"/>
      <c r="N18" s="480"/>
      <c r="O18" s="465">
        <f t="shared" si="0"/>
        <v>502902543.19999999</v>
      </c>
      <c r="Q18" s="465"/>
    </row>
    <row r="19" spans="1:17" ht="15.5">
      <c r="A19" s="451" t="s">
        <v>1034</v>
      </c>
      <c r="C19" s="342"/>
      <c r="D19" s="342">
        <v>0</v>
      </c>
      <c r="E19" s="342"/>
      <c r="F19" s="1368">
        <v>0</v>
      </c>
      <c r="G19" s="342"/>
      <c r="H19" s="1368">
        <v>0</v>
      </c>
      <c r="I19" s="1368"/>
      <c r="J19" s="1368">
        <v>0</v>
      </c>
      <c r="K19" s="1368"/>
      <c r="L19" s="1368">
        <v>0</v>
      </c>
      <c r="M19" s="1368"/>
      <c r="N19" s="480"/>
      <c r="O19" s="465">
        <f t="shared" si="0"/>
        <v>0</v>
      </c>
      <c r="Q19" s="465"/>
    </row>
    <row r="20" spans="1:17" ht="15" customHeight="1">
      <c r="A20" s="451" t="s">
        <v>1035</v>
      </c>
      <c r="C20" s="465"/>
      <c r="D20" s="465">
        <v>1367167.69</v>
      </c>
      <c r="E20" s="465"/>
      <c r="F20" s="1368">
        <v>1349825.45</v>
      </c>
      <c r="G20" s="465"/>
      <c r="H20" s="1368">
        <v>1225443.8999999999</v>
      </c>
      <c r="I20" s="1368"/>
      <c r="J20" s="1368">
        <v>275354.92</v>
      </c>
      <c r="K20" s="1368"/>
      <c r="L20" s="1368">
        <v>340877.74</v>
      </c>
      <c r="M20" s="1373"/>
      <c r="N20" s="480"/>
      <c r="O20" s="465">
        <f t="shared" si="0"/>
        <v>4558669.7</v>
      </c>
      <c r="Q20" s="465"/>
    </row>
    <row r="21" spans="1:17" ht="15" customHeight="1">
      <c r="A21" s="451" t="s">
        <v>1036</v>
      </c>
      <c r="C21" s="469"/>
      <c r="D21" s="1281">
        <v>-21673683.370000001</v>
      </c>
      <c r="E21" s="469"/>
      <c r="F21" s="1369">
        <v>-1537740.28</v>
      </c>
      <c r="G21" s="469"/>
      <c r="H21" s="1369">
        <v>862349.21</v>
      </c>
      <c r="I21" s="1922"/>
      <c r="J21" s="1369">
        <v>29878760.620000001</v>
      </c>
      <c r="K21" s="1922"/>
      <c r="L21" s="1369">
        <v>-24486898.57</v>
      </c>
      <c r="M21" s="1375"/>
      <c r="N21" s="481"/>
      <c r="O21" s="465">
        <f t="shared" si="0"/>
        <v>-16957212.390000001</v>
      </c>
      <c r="Q21" s="465"/>
    </row>
    <row r="22" spans="1:17" s="460" customFormat="1" ht="15.5">
      <c r="A22" s="460" t="s">
        <v>435</v>
      </c>
      <c r="C22" s="483"/>
      <c r="D22" s="1282">
        <f>ROUND(SUM(D15:D21),2)</f>
        <v>1670047428.3699999</v>
      </c>
      <c r="E22" s="483"/>
      <c r="F22" s="1282">
        <f>ROUND(SUM(F15:F21),2)</f>
        <v>1841751870.8</v>
      </c>
      <c r="G22" s="483"/>
      <c r="H22" s="1282">
        <f>ROUND(SUM(H15:H21),2)</f>
        <v>1743770607.0799999</v>
      </c>
      <c r="I22" s="483"/>
      <c r="J22" s="1282">
        <f>ROUND(SUM(J15:J21),2)</f>
        <v>624181298.44000006</v>
      </c>
      <c r="K22" s="483"/>
      <c r="L22" s="1282">
        <f>ROUND(SUM(L15:L21),2)</f>
        <v>390637529.27999997</v>
      </c>
      <c r="M22" s="483"/>
      <c r="N22" s="482"/>
      <c r="O22" s="640">
        <f>ROUND(SUM(O15:O21),2)</f>
        <v>6270388733.9700003</v>
      </c>
      <c r="P22" s="452"/>
      <c r="Q22" s="465"/>
    </row>
    <row r="23" spans="1:17" ht="15" customHeight="1">
      <c r="C23" s="465"/>
      <c r="D23" s="465"/>
      <c r="E23" s="465"/>
      <c r="F23" s="465"/>
      <c r="G23" s="465"/>
      <c r="H23" s="465"/>
      <c r="I23" s="465"/>
      <c r="J23" s="465"/>
      <c r="K23" s="465"/>
      <c r="L23" s="465"/>
      <c r="M23" s="465"/>
      <c r="N23" s="480"/>
      <c r="O23" s="465"/>
      <c r="Q23" s="465"/>
    </row>
    <row r="24" spans="1:17" ht="15" customHeight="1">
      <c r="A24" s="460" t="s">
        <v>1037</v>
      </c>
      <c r="C24" s="484"/>
      <c r="D24" s="484"/>
      <c r="E24" s="484"/>
      <c r="F24" s="484"/>
      <c r="G24" s="484"/>
      <c r="H24" s="484"/>
      <c r="I24" s="484"/>
      <c r="J24" s="484"/>
      <c r="K24" s="484"/>
      <c r="L24" s="484"/>
      <c r="M24" s="484"/>
      <c r="N24" s="480"/>
      <c r="O24" s="465"/>
      <c r="Q24" s="465"/>
    </row>
    <row r="25" spans="1:17" ht="15" customHeight="1">
      <c r="A25" s="456" t="s">
        <v>1038</v>
      </c>
      <c r="C25" s="465"/>
      <c r="D25" s="465">
        <v>0</v>
      </c>
      <c r="E25" s="465"/>
      <c r="F25" s="465">
        <v>0</v>
      </c>
      <c r="G25" s="465"/>
      <c r="H25" s="465">
        <v>0</v>
      </c>
      <c r="I25" s="465"/>
      <c r="J25" s="465">
        <v>0</v>
      </c>
      <c r="K25" s="465"/>
      <c r="L25" s="465">
        <v>0</v>
      </c>
      <c r="M25" s="465"/>
      <c r="N25" s="480"/>
      <c r="O25" s="465">
        <f>SUM(D25:N25)</f>
        <v>0</v>
      </c>
      <c r="Q25" s="465"/>
    </row>
    <row r="26" spans="1:17" ht="15" customHeight="1">
      <c r="A26" s="456" t="s">
        <v>1039</v>
      </c>
      <c r="C26" s="465"/>
      <c r="D26" s="465">
        <v>0</v>
      </c>
      <c r="E26" s="465"/>
      <c r="F26" s="465">
        <v>0</v>
      </c>
      <c r="G26" s="465"/>
      <c r="H26" s="465">
        <v>0</v>
      </c>
      <c r="I26" s="465"/>
      <c r="J26" s="465">
        <v>0</v>
      </c>
      <c r="K26" s="465"/>
      <c r="L26" s="465">
        <v>0</v>
      </c>
      <c r="M26" s="465"/>
      <c r="N26" s="480"/>
      <c r="O26" s="465">
        <f>SUM(D26:N26)</f>
        <v>0</v>
      </c>
      <c r="Q26" s="465"/>
    </row>
    <row r="27" spans="1:17" ht="15" customHeight="1">
      <c r="A27" s="456" t="s">
        <v>1040</v>
      </c>
      <c r="C27" s="465"/>
      <c r="D27" s="465">
        <v>0</v>
      </c>
      <c r="E27" s="465"/>
      <c r="F27" s="465">
        <v>0</v>
      </c>
      <c r="G27" s="465"/>
      <c r="H27" s="465">
        <v>0</v>
      </c>
      <c r="I27" s="465"/>
      <c r="J27" s="465">
        <v>0</v>
      </c>
      <c r="K27" s="465"/>
      <c r="L27" s="465">
        <v>0</v>
      </c>
      <c r="M27" s="465"/>
      <c r="N27" s="481"/>
      <c r="O27" s="465">
        <f>SUM(D27:N27)</f>
        <v>0</v>
      </c>
      <c r="Q27" s="465"/>
    </row>
    <row r="28" spans="1:17" ht="15.5">
      <c r="A28" s="466" t="s">
        <v>1041</v>
      </c>
      <c r="B28" s="460"/>
      <c r="C28" s="483"/>
      <c r="D28" s="640">
        <f>ROUND(SUM(D25:D27),2)</f>
        <v>0</v>
      </c>
      <c r="E28" s="483"/>
      <c r="F28" s="640">
        <f>ROUND(SUM(F25:F27),2)</f>
        <v>0</v>
      </c>
      <c r="G28" s="483"/>
      <c r="H28" s="640">
        <f>ROUND(SUM(H25:H27),2)</f>
        <v>0</v>
      </c>
      <c r="I28" s="483"/>
      <c r="J28" s="640">
        <f>ROUND(SUM(J25:J27),2)</f>
        <v>0</v>
      </c>
      <c r="K28" s="483"/>
      <c r="L28" s="640">
        <f>ROUND(SUM(L25:L27),2)</f>
        <v>0</v>
      </c>
      <c r="M28" s="483"/>
      <c r="N28" s="482"/>
      <c r="O28" s="640">
        <f>ROUND(SUM(O25:O27),2)</f>
        <v>0</v>
      </c>
      <c r="Q28" s="465"/>
    </row>
    <row r="29" spans="1:17" ht="15" customHeight="1">
      <c r="C29" s="465"/>
      <c r="D29" s="465"/>
      <c r="E29" s="465"/>
      <c r="F29" s="465"/>
      <c r="G29" s="465"/>
      <c r="H29" s="465"/>
      <c r="I29" s="465"/>
      <c r="J29" s="465"/>
      <c r="K29" s="465"/>
      <c r="L29" s="465"/>
      <c r="M29" s="465"/>
      <c r="N29" s="480"/>
      <c r="O29" s="465"/>
      <c r="Q29" s="465"/>
    </row>
    <row r="30" spans="1:17" ht="15" customHeight="1">
      <c r="A30" s="460" t="s">
        <v>1042</v>
      </c>
      <c r="B30" s="460"/>
      <c r="C30" s="483"/>
      <c r="D30" s="1282">
        <f>ROUND(+D22+D28,2)</f>
        <v>1670047428.3699999</v>
      </c>
      <c r="E30" s="483"/>
      <c r="F30" s="1282">
        <f>ROUND(+F22+F28,2)</f>
        <v>1841751870.8</v>
      </c>
      <c r="G30" s="483"/>
      <c r="H30" s="1282">
        <f>ROUND(+H22+H28,2)</f>
        <v>1743770607.0799999</v>
      </c>
      <c r="I30" s="483"/>
      <c r="J30" s="1282">
        <f>ROUND(+J22+J28,2)</f>
        <v>624181298.44000006</v>
      </c>
      <c r="K30" s="483"/>
      <c r="L30" s="1282">
        <f>ROUND(+L22+L28,2)</f>
        <v>390637529.27999997</v>
      </c>
      <c r="M30" s="483"/>
      <c r="N30" s="485"/>
      <c r="O30" s="483">
        <f>ROUND(+O22+O28,2)</f>
        <v>6270388733.9700003</v>
      </c>
      <c r="Q30" s="465"/>
    </row>
    <row r="31" spans="1:17" ht="15" customHeight="1">
      <c r="C31" s="465"/>
      <c r="D31" s="465"/>
      <c r="E31" s="465"/>
      <c r="F31" s="465"/>
      <c r="G31" s="465"/>
      <c r="H31" s="465"/>
      <c r="I31" s="465"/>
      <c r="J31" s="465"/>
      <c r="K31" s="465"/>
      <c r="L31" s="465"/>
      <c r="M31" s="465"/>
      <c r="N31" s="480"/>
      <c r="O31" s="638"/>
      <c r="Q31" s="465"/>
    </row>
    <row r="32" spans="1:17" ht="15" customHeight="1">
      <c r="A32" s="460" t="s">
        <v>145</v>
      </c>
      <c r="C32" s="465"/>
      <c r="D32" s="465"/>
      <c r="E32" s="465"/>
      <c r="F32" s="465"/>
      <c r="G32" s="465"/>
      <c r="H32" s="465"/>
      <c r="I32" s="465"/>
      <c r="J32" s="465"/>
      <c r="K32" s="465"/>
      <c r="L32" s="465"/>
      <c r="M32" s="465"/>
      <c r="N32" s="480"/>
      <c r="O32" s="465"/>
      <c r="Q32" s="465"/>
    </row>
    <row r="33" spans="1:17" ht="15" customHeight="1">
      <c r="A33" s="460" t="s">
        <v>1043</v>
      </c>
      <c r="C33" s="465"/>
      <c r="D33" s="465"/>
      <c r="E33" s="465"/>
      <c r="F33" s="465"/>
      <c r="G33" s="465"/>
      <c r="H33" s="465"/>
      <c r="I33" s="465"/>
      <c r="J33" s="465"/>
      <c r="K33" s="465"/>
      <c r="L33" s="465"/>
      <c r="M33" s="465"/>
      <c r="N33" s="480"/>
      <c r="O33" s="465"/>
      <c r="Q33" s="465"/>
    </row>
    <row r="34" spans="1:17" ht="15" customHeight="1">
      <c r="A34" s="451" t="s">
        <v>1044</v>
      </c>
      <c r="C34" s="465"/>
      <c r="D34" s="465">
        <v>0</v>
      </c>
      <c r="E34" s="465"/>
      <c r="F34" s="465">
        <v>0</v>
      </c>
      <c r="G34" s="465"/>
      <c r="H34" s="465">
        <v>0</v>
      </c>
      <c r="I34" s="465"/>
      <c r="J34" s="465">
        <v>0</v>
      </c>
      <c r="K34" s="465"/>
      <c r="L34" s="465">
        <v>0</v>
      </c>
      <c r="M34" s="465"/>
      <c r="N34" s="480"/>
      <c r="O34" s="465">
        <f>SUM(D34:N34)</f>
        <v>0</v>
      </c>
      <c r="Q34" s="465"/>
    </row>
    <row r="35" spans="1:17" ht="15" customHeight="1">
      <c r="A35" s="456" t="s">
        <v>1045</v>
      </c>
      <c r="C35" s="465"/>
      <c r="D35" s="465">
        <v>15555482</v>
      </c>
      <c r="E35" s="465"/>
      <c r="F35" s="465">
        <v>16698773</v>
      </c>
      <c r="G35" s="465"/>
      <c r="H35" s="465">
        <v>17143946</v>
      </c>
      <c r="I35" s="465"/>
      <c r="J35" s="465">
        <v>5730429</v>
      </c>
      <c r="K35" s="465"/>
      <c r="L35" s="465">
        <v>5071159</v>
      </c>
      <c r="M35" s="1373"/>
      <c r="N35" s="480"/>
      <c r="O35" s="465">
        <f>SUM(D35:N35)</f>
        <v>60199789</v>
      </c>
      <c r="Q35" s="465"/>
    </row>
    <row r="36" spans="1:17" ht="15" customHeight="1">
      <c r="A36" s="460" t="s">
        <v>1046</v>
      </c>
      <c r="C36" s="465"/>
      <c r="D36" s="465"/>
      <c r="E36" s="465"/>
      <c r="F36" s="465"/>
      <c r="G36" s="465"/>
      <c r="H36" s="465"/>
      <c r="I36" s="465"/>
      <c r="J36" s="465"/>
      <c r="K36" s="465"/>
      <c r="L36" s="465"/>
      <c r="M36" s="1374"/>
      <c r="N36" s="465"/>
      <c r="O36" s="465" t="s">
        <v>103</v>
      </c>
      <c r="Q36" s="465"/>
    </row>
    <row r="37" spans="1:17" ht="15" customHeight="1">
      <c r="A37" s="456" t="s">
        <v>1047</v>
      </c>
      <c r="C37" s="465"/>
      <c r="D37" s="465">
        <v>0</v>
      </c>
      <c r="E37" s="465"/>
      <c r="F37" s="465">
        <v>0</v>
      </c>
      <c r="G37" s="465"/>
      <c r="H37" s="465">
        <v>0</v>
      </c>
      <c r="I37" s="465"/>
      <c r="J37" s="465">
        <v>0</v>
      </c>
      <c r="K37" s="465"/>
      <c r="L37" s="465">
        <v>0</v>
      </c>
      <c r="M37" s="1376"/>
      <c r="N37" s="465"/>
      <c r="O37" s="465">
        <f>SUM(D37:N37)</f>
        <v>0</v>
      </c>
      <c r="Q37" s="465"/>
    </row>
    <row r="38" spans="1:17" s="460" customFormat="1" ht="15.5">
      <c r="A38" s="460" t="s">
        <v>1048</v>
      </c>
      <c r="C38" s="483"/>
      <c r="D38" s="640">
        <f>ROUND(SUM(D34:D37),2)</f>
        <v>15555482</v>
      </c>
      <c r="E38" s="483"/>
      <c r="F38" s="640">
        <f>ROUND(SUM(F34:F37),2)</f>
        <v>16698773</v>
      </c>
      <c r="G38" s="483"/>
      <c r="H38" s="640">
        <f>ROUND(SUM(H34:H37),2)</f>
        <v>17143946</v>
      </c>
      <c r="I38" s="483"/>
      <c r="J38" s="640">
        <f>ROUND(SUM(J34:J37),2)</f>
        <v>5730429</v>
      </c>
      <c r="K38" s="483"/>
      <c r="L38" s="640">
        <f>ROUND(SUM(L34:L37),2)</f>
        <v>5071159</v>
      </c>
      <c r="M38" s="483"/>
      <c r="N38" s="482"/>
      <c r="O38" s="640">
        <f>ROUND(SUM(O34:O37),2)</f>
        <v>60199789</v>
      </c>
      <c r="P38" s="459"/>
      <c r="Q38" s="465"/>
    </row>
    <row r="39" spans="1:17" ht="15" customHeight="1">
      <c r="C39" s="465"/>
      <c r="D39" s="465"/>
      <c r="E39" s="465"/>
      <c r="F39" s="465"/>
      <c r="G39" s="465"/>
      <c r="H39" s="465"/>
      <c r="I39" s="465"/>
      <c r="J39" s="465"/>
      <c r="K39" s="465"/>
      <c r="L39" s="465"/>
      <c r="M39" s="465"/>
      <c r="N39" s="480"/>
      <c r="O39" s="465"/>
      <c r="Q39" s="465"/>
    </row>
    <row r="40" spans="1:17" ht="15" customHeight="1">
      <c r="A40" s="460" t="s">
        <v>1049</v>
      </c>
      <c r="C40" s="465"/>
      <c r="D40" s="465"/>
      <c r="E40" s="465"/>
      <c r="F40" s="465"/>
      <c r="G40" s="465"/>
      <c r="H40" s="465"/>
      <c r="I40" s="465"/>
      <c r="J40" s="465"/>
      <c r="K40" s="465"/>
      <c r="L40" s="465"/>
      <c r="M40" s="465"/>
      <c r="N40" s="480"/>
      <c r="O40" s="465"/>
      <c r="Q40" s="465"/>
    </row>
    <row r="41" spans="1:17" ht="15" customHeight="1">
      <c r="A41" s="451" t="s">
        <v>1044</v>
      </c>
      <c r="C41" s="465"/>
      <c r="D41" s="465">
        <v>0</v>
      </c>
      <c r="E41" s="465"/>
      <c r="F41" s="465">
        <v>0</v>
      </c>
      <c r="G41" s="465"/>
      <c r="H41" s="465">
        <v>0</v>
      </c>
      <c r="I41" s="465"/>
      <c r="J41" s="465">
        <v>0</v>
      </c>
      <c r="K41" s="465"/>
      <c r="L41" s="465">
        <v>0</v>
      </c>
      <c r="M41" s="465"/>
      <c r="N41" s="480"/>
      <c r="O41" s="465">
        <f>SUM(D41:N41)</f>
        <v>0</v>
      </c>
      <c r="Q41" s="465"/>
    </row>
    <row r="42" spans="1:17" ht="15" customHeight="1">
      <c r="A42" s="451" t="s">
        <v>1050</v>
      </c>
      <c r="C42" s="465"/>
      <c r="D42" s="465">
        <v>0</v>
      </c>
      <c r="E42" s="465"/>
      <c r="F42" s="465">
        <v>0</v>
      </c>
      <c r="G42" s="465"/>
      <c r="H42" s="465">
        <v>0</v>
      </c>
      <c r="I42" s="465"/>
      <c r="J42" s="465">
        <v>0</v>
      </c>
      <c r="K42" s="465"/>
      <c r="L42" s="465">
        <v>0</v>
      </c>
      <c r="M42" s="465"/>
      <c r="N42" s="480"/>
      <c r="O42" s="465">
        <f>SUM(D42:N42)</f>
        <v>0</v>
      </c>
      <c r="Q42" s="465"/>
    </row>
    <row r="43" spans="1:17" ht="15" customHeight="1">
      <c r="A43" s="460" t="s">
        <v>1051</v>
      </c>
      <c r="C43" s="465"/>
      <c r="D43" s="465"/>
      <c r="E43" s="465"/>
      <c r="F43" s="465"/>
      <c r="G43" s="465"/>
      <c r="H43" s="465"/>
      <c r="I43" s="465"/>
      <c r="J43" s="465"/>
      <c r="K43" s="465"/>
      <c r="L43" s="465"/>
      <c r="M43" s="465"/>
      <c r="N43" s="480"/>
      <c r="O43" s="465"/>
      <c r="Q43" s="465"/>
    </row>
    <row r="44" spans="1:17" ht="15" customHeight="1">
      <c r="A44" s="456" t="s">
        <v>1047</v>
      </c>
      <c r="C44" s="465"/>
      <c r="D44" s="465">
        <v>-1716528723.72</v>
      </c>
      <c r="E44" s="465"/>
      <c r="F44" s="465">
        <v>-1705040264.04</v>
      </c>
      <c r="G44" s="465"/>
      <c r="H44" s="465">
        <v>-1890735233.49</v>
      </c>
      <c r="I44" s="465"/>
      <c r="J44" s="465">
        <v>-434528309.01999998</v>
      </c>
      <c r="K44" s="465"/>
      <c r="L44" s="465">
        <v>-606217874.03999996</v>
      </c>
      <c r="M44" s="465"/>
      <c r="N44" s="480"/>
      <c r="O44" s="465">
        <f t="shared" ref="O44" si="1">SUM(D44:N44)</f>
        <v>-6353050404.3100004</v>
      </c>
      <c r="Q44" s="465"/>
    </row>
    <row r="45" spans="1:17" ht="15.5">
      <c r="A45" s="460" t="s">
        <v>1052</v>
      </c>
      <c r="B45" s="460"/>
      <c r="C45" s="483"/>
      <c r="D45" s="640">
        <f>ROUND(SUM(D41:D44),2)</f>
        <v>-1716528723.72</v>
      </c>
      <c r="E45" s="483"/>
      <c r="F45" s="640">
        <f>ROUND(SUM(F41:F44),2)</f>
        <v>-1705040264.04</v>
      </c>
      <c r="G45" s="483"/>
      <c r="H45" s="640">
        <f>ROUND(SUM(H41:H44),2)</f>
        <v>-1890735233.49</v>
      </c>
      <c r="I45" s="483"/>
      <c r="J45" s="640">
        <f>ROUND(SUM(J41:J44),2)</f>
        <v>-434528309.01999998</v>
      </c>
      <c r="K45" s="483"/>
      <c r="L45" s="640">
        <f>ROUND(SUM(L41:L44),2)</f>
        <v>-606217874.03999996</v>
      </c>
      <c r="M45" s="483"/>
      <c r="N45" s="482"/>
      <c r="O45" s="640">
        <f>ROUND(SUM(O41:O44),2)</f>
        <v>-6353050404.3100004</v>
      </c>
      <c r="Q45" s="465"/>
    </row>
    <row r="46" spans="1:17" ht="15" customHeight="1">
      <c r="C46" s="465"/>
      <c r="D46" s="465"/>
      <c r="E46" s="465"/>
      <c r="F46" s="465"/>
      <c r="G46" s="465"/>
      <c r="H46" s="465"/>
      <c r="I46" s="465"/>
      <c r="J46" s="465"/>
      <c r="K46" s="465"/>
      <c r="L46" s="465"/>
      <c r="M46" s="465"/>
      <c r="N46" s="480"/>
      <c r="O46" s="465"/>
      <c r="Q46" s="465"/>
    </row>
    <row r="47" spans="1:17" ht="15" customHeight="1">
      <c r="A47" s="460" t="s">
        <v>1053</v>
      </c>
      <c r="C47" s="465"/>
      <c r="D47" s="465"/>
      <c r="E47" s="465"/>
      <c r="F47" s="465"/>
      <c r="G47" s="465"/>
      <c r="H47" s="465"/>
      <c r="I47" s="465"/>
      <c r="J47" s="465"/>
      <c r="K47" s="465"/>
      <c r="L47" s="465"/>
      <c r="M47" s="465"/>
      <c r="N47" s="480"/>
      <c r="O47" s="465"/>
      <c r="Q47" s="465"/>
    </row>
    <row r="48" spans="1:17" ht="15" customHeight="1">
      <c r="A48" s="460" t="s">
        <v>1054</v>
      </c>
      <c r="C48" s="483"/>
      <c r="D48" s="1282">
        <f>ROUND(+D30+D38+D45,2)</f>
        <v>-30925813.350000001</v>
      </c>
      <c r="E48" s="483"/>
      <c r="F48" s="1282">
        <f>ROUND(+F30+F38+F45,2)</f>
        <v>153410379.75999999</v>
      </c>
      <c r="G48" s="483"/>
      <c r="H48" s="1282">
        <f>ROUND(+H30+H38+H45,2)</f>
        <v>-129820680.41</v>
      </c>
      <c r="I48" s="483"/>
      <c r="J48" s="1282">
        <f>ROUND(+J30+J38+J45,2)</f>
        <v>195383418.41999999</v>
      </c>
      <c r="K48" s="483"/>
      <c r="L48" s="1282">
        <f>ROUND(+L30+L38+L45,2)</f>
        <v>-210509185.75999999</v>
      </c>
      <c r="M48" s="483"/>
      <c r="N48" s="485"/>
      <c r="O48" s="710">
        <f>ROUND(+O30+O38+O45,2)</f>
        <v>-22461881.34</v>
      </c>
      <c r="Q48" s="465"/>
    </row>
    <row r="49" spans="1:17" ht="15" customHeight="1">
      <c r="N49" s="486"/>
      <c r="O49" s="465"/>
      <c r="Q49" s="465"/>
    </row>
    <row r="50" spans="1:17" s="460" customFormat="1" ht="21" customHeight="1" thickBot="1">
      <c r="A50" s="460" t="s">
        <v>1055</v>
      </c>
      <c r="C50" s="462"/>
      <c r="D50" s="1283">
        <f>ROUND(D12+D48,2)</f>
        <v>307430393.30000001</v>
      </c>
      <c r="E50" s="462"/>
      <c r="F50" s="1283">
        <f>ROUND(F12+F48,2)</f>
        <v>460840773.06</v>
      </c>
      <c r="G50" s="462"/>
      <c r="H50" s="1283">
        <f>ROUND(H12+H48,2)</f>
        <v>331020092.64999998</v>
      </c>
      <c r="I50" s="462"/>
      <c r="J50" s="1283">
        <f>ROUND(J12+J48,2)</f>
        <v>526403511.06999999</v>
      </c>
      <c r="K50" s="462"/>
      <c r="L50" s="1283">
        <f>ROUND(L12+L48,2)</f>
        <v>315894325.31</v>
      </c>
      <c r="M50" s="462"/>
      <c r="N50" s="487"/>
      <c r="O50" s="462">
        <f>ROUND(O12+O48,2)</f>
        <v>315894325.31</v>
      </c>
      <c r="P50" s="459"/>
      <c r="Q50" s="465"/>
    </row>
    <row r="51" spans="1:17" ht="15" customHeight="1" thickTop="1">
      <c r="A51" s="451" t="s">
        <v>103</v>
      </c>
      <c r="O51" s="488"/>
      <c r="Q51" s="465"/>
    </row>
    <row r="52" spans="1:17" ht="15" customHeight="1">
      <c r="A52" s="456" t="s">
        <v>1056</v>
      </c>
      <c r="Q52" s="465"/>
    </row>
    <row r="53" spans="1:17" ht="15" customHeight="1">
      <c r="A53" s="467"/>
      <c r="Q53" s="465"/>
    </row>
  </sheetData>
  <printOptions horizontalCentered="1"/>
  <pageMargins left="0.24" right="0.24" top="0.5" bottom="0.5" header="0.18" footer="0.25"/>
  <pageSetup scale="57" firstPageNumber="50"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45"/>
  <sheetViews>
    <sheetView showGridLines="0" zoomScaleNormal="100" workbookViewId="0"/>
  </sheetViews>
  <sheetFormatPr defaultColWidth="8.69140625" defaultRowHeight="15.5"/>
  <cols>
    <col min="1" max="1" width="3.53515625" style="556" customWidth="1"/>
    <col min="2" max="2" width="8.4609375" style="556" customWidth="1"/>
    <col min="3" max="3" width="12.07421875" style="556" customWidth="1"/>
    <col min="4" max="4" width="15" style="555" customWidth="1"/>
    <col min="5" max="5" width="15.07421875" style="555" customWidth="1"/>
    <col min="6" max="6" width="12.07421875" style="556" customWidth="1"/>
    <col min="7" max="7" width="10.07421875" style="556" customWidth="1"/>
    <col min="8" max="8" width="9.07421875" style="220" customWidth="1"/>
    <col min="9" max="9" width="5.53515625" style="292" customWidth="1"/>
    <col min="10" max="10" width="9.07421875" style="292" customWidth="1"/>
    <col min="11" max="11" width="8.07421875" style="555" customWidth="1"/>
    <col min="12" max="12" width="16" style="555" customWidth="1"/>
    <col min="13" max="13" width="12.07421875" style="555" customWidth="1"/>
    <col min="14" max="14" width="7.69140625" style="555" customWidth="1"/>
    <col min="15" max="15" width="18.69140625" style="572" customWidth="1"/>
    <col min="16" max="16" width="4.69140625" style="572" customWidth="1"/>
    <col min="17" max="17" width="8" style="572" customWidth="1"/>
    <col min="18" max="18" width="3.69140625" style="572" customWidth="1"/>
    <col min="19" max="19" width="13.07421875" style="572" customWidth="1"/>
    <col min="20" max="21" width="12.07421875" style="572" customWidth="1"/>
    <col min="22" max="16384" width="8.69140625" style="572"/>
  </cols>
  <sheetData>
    <row r="1" spans="1:20">
      <c r="A1" s="919" t="s">
        <v>97</v>
      </c>
    </row>
    <row r="2" spans="1:20">
      <c r="A2" s="217" t="s">
        <v>168</v>
      </c>
      <c r="B2" s="218"/>
      <c r="C2" s="219"/>
      <c r="D2" s="220"/>
      <c r="E2" s="220"/>
      <c r="F2" s="220"/>
      <c r="G2" s="220"/>
      <c r="I2" s="221"/>
      <c r="J2" s="221"/>
      <c r="K2" s="220"/>
      <c r="L2" s="220"/>
      <c r="M2" s="220"/>
      <c r="N2" s="222"/>
      <c r="O2" s="373" t="s">
        <v>169</v>
      </c>
      <c r="Q2" s="224"/>
      <c r="R2" s="224"/>
      <c r="S2" s="225"/>
      <c r="T2" s="226"/>
    </row>
    <row r="3" spans="1:20" ht="13.4" customHeight="1">
      <c r="A3" s="218"/>
      <c r="B3" s="218"/>
      <c r="C3" s="219"/>
      <c r="D3" s="220"/>
      <c r="E3" s="220"/>
      <c r="F3" s="220"/>
      <c r="G3" s="220"/>
      <c r="I3" s="556"/>
      <c r="J3" s="556"/>
      <c r="M3" s="556"/>
      <c r="N3" s="1560"/>
      <c r="O3" s="1000" t="str">
        <f>UPPER(TEXT(DATE(YEAR(_xlfn.TEXTAFTER('Exh D Governmental  '!A6," ",4)),MONTH(_xlfn.TEXTAFTER('Exh D Governmental  '!A6," ",4)),DAY(_xlfn.TEXTAFTER('Exh D Governmental  '!A6," ",4))),"MMMM YYYY"))</f>
        <v>FEBRUARY 2025</v>
      </c>
      <c r="T3" s="226"/>
    </row>
    <row r="4" spans="1:20" ht="9" customHeight="1">
      <c r="T4" s="226"/>
    </row>
    <row r="5" spans="1:20" ht="13.5" customHeight="1">
      <c r="T5" s="226"/>
    </row>
    <row r="6" spans="1:20" ht="13.5" customHeight="1">
      <c r="A6" s="227" t="s">
        <v>170</v>
      </c>
      <c r="B6" s="220" t="s">
        <v>171</v>
      </c>
      <c r="C6" s="220"/>
      <c r="D6" s="220"/>
      <c r="E6" s="220"/>
      <c r="F6" s="220"/>
      <c r="G6" s="220"/>
      <c r="H6" s="229"/>
      <c r="J6" s="221" t="s">
        <v>203</v>
      </c>
    </row>
    <row r="7" spans="1:20" ht="13.5" customHeight="1">
      <c r="A7" s="227"/>
      <c r="B7" s="220" t="s">
        <v>173</v>
      </c>
      <c r="C7" s="220"/>
      <c r="D7" s="220"/>
      <c r="E7" s="220"/>
      <c r="F7" s="220"/>
      <c r="G7" s="220"/>
      <c r="H7" s="556"/>
      <c r="J7" s="220" t="s">
        <v>1585</v>
      </c>
    </row>
    <row r="8" spans="1:20" ht="13.4" customHeight="1">
      <c r="A8" s="227"/>
      <c r="B8" s="220" t="s">
        <v>174</v>
      </c>
      <c r="C8" s="220"/>
      <c r="D8" s="220"/>
      <c r="E8" s="220"/>
      <c r="F8" s="220"/>
      <c r="G8" s="220"/>
      <c r="H8" s="556"/>
      <c r="J8" s="220" t="s">
        <v>1586</v>
      </c>
    </row>
    <row r="9" spans="1:20" ht="12.75" customHeight="1">
      <c r="A9" s="227"/>
      <c r="B9" s="220" t="s">
        <v>1542</v>
      </c>
      <c r="C9" s="220"/>
      <c r="D9" s="220"/>
      <c r="E9" s="220"/>
      <c r="F9" s="220"/>
      <c r="G9" s="220"/>
      <c r="H9" s="227"/>
    </row>
    <row r="10" spans="1:20" ht="12.75" customHeight="1">
      <c r="F10" s="589"/>
      <c r="J10" s="220" t="s">
        <v>204</v>
      </c>
      <c r="K10" s="221"/>
      <c r="L10" s="221"/>
      <c r="N10" s="588"/>
      <c r="O10" s="229"/>
    </row>
    <row r="11" spans="1:20" ht="12.75" customHeight="1">
      <c r="A11" s="220"/>
      <c r="B11" s="220"/>
      <c r="C11" s="221" t="s">
        <v>175</v>
      </c>
      <c r="D11" s="586"/>
      <c r="E11" s="220"/>
      <c r="F11" s="586">
        <v>508.5</v>
      </c>
      <c r="G11" s="220" t="s">
        <v>176</v>
      </c>
      <c r="H11" s="227" t="s">
        <v>103</v>
      </c>
      <c r="J11" s="220" t="s">
        <v>205</v>
      </c>
      <c r="K11" s="221"/>
      <c r="L11" s="221"/>
      <c r="N11" s="588"/>
      <c r="O11" s="220"/>
    </row>
    <row r="12" spans="1:20" ht="12.75" customHeight="1">
      <c r="A12" s="220"/>
      <c r="B12" s="221"/>
      <c r="C12" s="221" t="s">
        <v>177</v>
      </c>
      <c r="D12" s="590"/>
      <c r="E12" s="220"/>
      <c r="F12" s="1006">
        <v>17.3</v>
      </c>
      <c r="G12" s="220"/>
      <c r="H12" s="220" t="s">
        <v>103</v>
      </c>
      <c r="J12" s="220" t="s">
        <v>1587</v>
      </c>
      <c r="K12" s="221"/>
      <c r="L12" s="221"/>
      <c r="N12" s="588"/>
      <c r="O12" s="555"/>
    </row>
    <row r="13" spans="1:20" ht="12.75" customHeight="1">
      <c r="A13" s="220"/>
      <c r="B13" s="221"/>
      <c r="C13" s="221" t="s">
        <v>178</v>
      </c>
      <c r="D13" s="590"/>
      <c r="E13" s="220"/>
      <c r="F13" s="973">
        <v>1357</v>
      </c>
      <c r="G13" s="220"/>
      <c r="H13" s="572" t="s">
        <v>103</v>
      </c>
      <c r="J13" s="220" t="s">
        <v>1588</v>
      </c>
      <c r="K13" s="689"/>
      <c r="N13" s="587"/>
      <c r="T13" s="220"/>
    </row>
    <row r="14" spans="1:20" ht="12.75" customHeight="1">
      <c r="A14" s="220"/>
      <c r="B14" s="221"/>
      <c r="C14" s="221" t="s">
        <v>179</v>
      </c>
      <c r="D14" s="590"/>
      <c r="E14" s="220"/>
      <c r="F14" s="973">
        <v>12.9</v>
      </c>
      <c r="H14" s="556" t="s">
        <v>103</v>
      </c>
      <c r="J14" s="220"/>
      <c r="K14" s="689"/>
      <c r="N14" s="587"/>
      <c r="T14" s="228"/>
    </row>
    <row r="15" spans="1:20" ht="12.75" customHeight="1">
      <c r="A15" s="220"/>
      <c r="B15" s="221"/>
      <c r="C15" s="221" t="s">
        <v>180</v>
      </c>
      <c r="D15" s="590"/>
      <c r="E15" s="220"/>
      <c r="F15" s="973">
        <v>861.7</v>
      </c>
      <c r="G15" s="220"/>
      <c r="H15" s="227" t="s">
        <v>103</v>
      </c>
      <c r="J15" s="556"/>
      <c r="K15" s="689" t="s">
        <v>103</v>
      </c>
      <c r="L15" s="586"/>
      <c r="M15" s="220"/>
      <c r="N15" s="587" t="s">
        <v>103</v>
      </c>
      <c r="T15" s="228"/>
    </row>
    <row r="16" spans="1:20" ht="12.75" customHeight="1">
      <c r="C16" s="221" t="s">
        <v>181</v>
      </c>
      <c r="F16" s="588">
        <v>1748.3</v>
      </c>
      <c r="J16" s="986" t="s">
        <v>172</v>
      </c>
      <c r="K16" s="987"/>
      <c r="L16" s="968"/>
      <c r="M16" s="968"/>
      <c r="N16" s="988"/>
      <c r="P16" s="586"/>
      <c r="R16" s="220"/>
    </row>
    <row r="17" spans="1:17" ht="12.75" customHeight="1">
      <c r="A17" s="220"/>
      <c r="B17" s="221"/>
      <c r="C17" s="221" t="s">
        <v>183</v>
      </c>
      <c r="D17" s="591"/>
      <c r="E17" s="220"/>
      <c r="F17" s="1006">
        <v>364</v>
      </c>
      <c r="G17" s="220"/>
      <c r="J17" s="968" t="s">
        <v>1591</v>
      </c>
      <c r="K17" s="987"/>
      <c r="L17" s="989"/>
      <c r="M17" s="989"/>
      <c r="N17" s="988"/>
    </row>
    <row r="18" spans="1:17" ht="12.75" customHeight="1">
      <c r="A18" s="220"/>
      <c r="B18" s="221"/>
      <c r="C18" s="221" t="s">
        <v>184</v>
      </c>
      <c r="D18" s="591"/>
      <c r="E18" s="220"/>
      <c r="F18" s="973">
        <v>410.5</v>
      </c>
      <c r="G18" s="220"/>
      <c r="J18" s="220" t="s">
        <v>1500</v>
      </c>
      <c r="K18" s="990"/>
      <c r="L18" s="989"/>
      <c r="M18" s="989"/>
      <c r="N18" s="989"/>
    </row>
    <row r="19" spans="1:17" ht="12.75" customHeight="1">
      <c r="A19" s="220"/>
      <c r="B19" s="221"/>
      <c r="G19" s="220"/>
      <c r="J19" s="220" t="s">
        <v>1592</v>
      </c>
      <c r="K19" s="689"/>
      <c r="L19" s="985"/>
      <c r="M19" s="220"/>
      <c r="N19" s="587"/>
    </row>
    <row r="20" spans="1:17" ht="13.4" customHeight="1">
      <c r="A20" s="227" t="s">
        <v>187</v>
      </c>
      <c r="B20" s="220" t="s">
        <v>188</v>
      </c>
      <c r="C20" s="220"/>
      <c r="D20" s="220"/>
      <c r="E20" s="220"/>
      <c r="F20" s="220"/>
      <c r="G20" s="220"/>
      <c r="H20" s="227"/>
      <c r="J20" s="221"/>
      <c r="K20" s="220"/>
      <c r="L20" s="220"/>
      <c r="M20" s="220"/>
      <c r="N20" s="220"/>
      <c r="Q20" s="1004"/>
    </row>
    <row r="21" spans="1:17" ht="12.75" customHeight="1">
      <c r="A21" s="227"/>
      <c r="B21" s="220" t="s">
        <v>190</v>
      </c>
      <c r="C21" s="220"/>
      <c r="D21" s="220"/>
      <c r="E21" s="220"/>
      <c r="F21" s="220"/>
      <c r="G21" s="220"/>
      <c r="J21" s="220" t="s">
        <v>1548</v>
      </c>
      <c r="K21" s="220"/>
      <c r="L21" s="220"/>
      <c r="M21" s="220"/>
      <c r="N21" s="220"/>
      <c r="Q21" s="974"/>
    </row>
    <row r="22" spans="1:17" ht="14.15" customHeight="1">
      <c r="A22" s="227"/>
      <c r="B22" s="220"/>
      <c r="C22" s="220"/>
      <c r="D22" s="220"/>
      <c r="E22" s="220"/>
      <c r="F22" s="220"/>
      <c r="G22" s="220"/>
      <c r="J22" s="221"/>
      <c r="K22" s="220"/>
      <c r="L22" s="220"/>
      <c r="M22" s="220"/>
      <c r="N22" s="220"/>
      <c r="Q22" s="1004"/>
    </row>
    <row r="23" spans="1:17" ht="12.75" customHeight="1">
      <c r="A23" s="220"/>
      <c r="B23" s="592" t="s">
        <v>192</v>
      </c>
      <c r="C23" s="592"/>
      <c r="D23" s="220"/>
      <c r="E23" s="220"/>
      <c r="F23" s="1003"/>
      <c r="G23" s="220"/>
      <c r="J23" s="221" t="s">
        <v>103</v>
      </c>
      <c r="K23" s="221" t="s">
        <v>1502</v>
      </c>
      <c r="L23" s="586"/>
      <c r="M23" s="220"/>
      <c r="N23" s="600">
        <v>4.7</v>
      </c>
      <c r="O23" s="220" t="s">
        <v>176</v>
      </c>
    </row>
    <row r="24" spans="1:17" ht="12.75" customHeight="1">
      <c r="G24" s="220"/>
      <c r="K24" s="689" t="s">
        <v>1566</v>
      </c>
      <c r="L24" s="701"/>
      <c r="M24" s="220"/>
      <c r="N24" s="588">
        <v>6.4</v>
      </c>
    </row>
    <row r="25" spans="1:17" ht="13.4" customHeight="1">
      <c r="C25" s="221" t="s">
        <v>193</v>
      </c>
      <c r="F25" s="600">
        <v>5267.4</v>
      </c>
      <c r="G25" s="220" t="s">
        <v>176</v>
      </c>
      <c r="K25" s="221" t="s">
        <v>1511</v>
      </c>
      <c r="L25" s="586"/>
      <c r="M25" s="220"/>
      <c r="N25" s="587">
        <v>2.6</v>
      </c>
    </row>
    <row r="26" spans="1:17" ht="12.75" customHeight="1">
      <c r="C26" s="221" t="s">
        <v>194</v>
      </c>
      <c r="D26" s="586"/>
      <c r="E26" s="220"/>
      <c r="F26" s="587">
        <v>284.7</v>
      </c>
      <c r="G26" s="572"/>
      <c r="H26" s="556"/>
      <c r="K26" s="221" t="s">
        <v>1512</v>
      </c>
      <c r="L26" s="586"/>
      <c r="M26" s="220"/>
      <c r="N26" s="587">
        <v>72.5</v>
      </c>
    </row>
    <row r="27" spans="1:17" ht="12.75" customHeight="1">
      <c r="C27" s="220" t="s">
        <v>195</v>
      </c>
      <c r="F27" s="1002">
        <v>29.7</v>
      </c>
      <c r="G27" s="220"/>
      <c r="K27" s="689" t="s">
        <v>1541</v>
      </c>
      <c r="L27" s="701"/>
      <c r="M27" s="220"/>
      <c r="N27" s="588">
        <v>260.3</v>
      </c>
    </row>
    <row r="28" spans="1:17" ht="12.75" customHeight="1">
      <c r="C28" s="220" t="s">
        <v>1537</v>
      </c>
      <c r="F28" s="1002">
        <v>8</v>
      </c>
      <c r="H28" s="227"/>
      <c r="K28" s="689" t="s">
        <v>1549</v>
      </c>
      <c r="L28" s="701"/>
      <c r="M28" s="220"/>
      <c r="N28" s="588">
        <v>20.8</v>
      </c>
    </row>
    <row r="29" spans="1:17" ht="13.4" customHeight="1">
      <c r="C29" s="220" t="s">
        <v>1499</v>
      </c>
      <c r="F29" s="1002">
        <v>29.2</v>
      </c>
      <c r="K29" s="221" t="s">
        <v>1501</v>
      </c>
      <c r="L29" s="586"/>
      <c r="M29" s="220"/>
      <c r="N29" s="587">
        <v>11</v>
      </c>
    </row>
    <row r="30" spans="1:17" ht="13.4" customHeight="1">
      <c r="C30" s="220" t="s">
        <v>1498</v>
      </c>
      <c r="F30" s="1002">
        <v>11.5</v>
      </c>
      <c r="G30" s="1367" t="s">
        <v>103</v>
      </c>
      <c r="K30" s="689" t="s">
        <v>199</v>
      </c>
      <c r="L30" s="701"/>
      <c r="M30" s="220"/>
      <c r="N30" s="588">
        <v>1</v>
      </c>
    </row>
    <row r="31" spans="1:17" ht="12.75" customHeight="1">
      <c r="C31" s="220" t="s">
        <v>1562</v>
      </c>
      <c r="F31" s="1002">
        <v>4.8</v>
      </c>
      <c r="K31" s="221" t="s">
        <v>1508</v>
      </c>
      <c r="L31" s="586"/>
      <c r="M31" s="220"/>
      <c r="N31" s="587">
        <v>6.2</v>
      </c>
      <c r="O31" s="555"/>
    </row>
    <row r="32" spans="1:17" ht="12.75" customHeight="1">
      <c r="C32" s="220" t="s">
        <v>1496</v>
      </c>
      <c r="F32" s="1002">
        <v>2.2000000000000002</v>
      </c>
      <c r="K32" s="689" t="s">
        <v>1565</v>
      </c>
      <c r="L32" s="701"/>
      <c r="M32" s="220"/>
      <c r="N32" s="588">
        <v>1.6</v>
      </c>
    </row>
    <row r="33" spans="3:20" ht="12.75" customHeight="1">
      <c r="C33" s="689" t="s">
        <v>196</v>
      </c>
      <c r="D33" s="586"/>
      <c r="E33" s="220"/>
      <c r="F33" s="587">
        <v>125.8</v>
      </c>
      <c r="K33" s="221" t="s">
        <v>1505</v>
      </c>
      <c r="L33" s="586"/>
      <c r="M33" s="220"/>
      <c r="N33" s="587">
        <v>1.7</v>
      </c>
      <c r="O33" s="556"/>
    </row>
    <row r="34" spans="3:20" ht="12.75" customHeight="1">
      <c r="C34" s="689" t="s">
        <v>1490</v>
      </c>
      <c r="D34" s="586"/>
      <c r="E34" s="220"/>
      <c r="F34" s="587">
        <v>49.5</v>
      </c>
      <c r="K34" s="221" t="s">
        <v>1504</v>
      </c>
      <c r="L34" s="586"/>
      <c r="M34" s="220"/>
      <c r="N34" s="587">
        <v>5.7</v>
      </c>
      <c r="O34" s="220"/>
    </row>
    <row r="35" spans="3:20" ht="12.75" customHeight="1">
      <c r="C35" s="221" t="s">
        <v>197</v>
      </c>
      <c r="D35" s="221"/>
      <c r="F35" s="588">
        <v>510</v>
      </c>
      <c r="K35" s="689" t="s">
        <v>1564</v>
      </c>
      <c r="L35" s="701"/>
      <c r="M35" s="220"/>
      <c r="N35" s="588">
        <v>1.1000000000000001</v>
      </c>
    </row>
    <row r="36" spans="3:20" ht="12.75" customHeight="1">
      <c r="C36" s="221" t="s">
        <v>1491</v>
      </c>
      <c r="D36" s="221"/>
      <c r="F36" s="588">
        <v>4.0999999999999996</v>
      </c>
      <c r="K36" s="221" t="s">
        <v>1509</v>
      </c>
      <c r="L36" s="586"/>
      <c r="M36" s="220"/>
      <c r="N36" s="587">
        <v>6.9</v>
      </c>
      <c r="O36" s="555"/>
    </row>
    <row r="37" spans="3:20" ht="12.75" customHeight="1">
      <c r="C37" s="221" t="s">
        <v>1492</v>
      </c>
      <c r="D37" s="221"/>
      <c r="F37" s="588">
        <v>6.6</v>
      </c>
      <c r="K37" s="221" t="s">
        <v>1506</v>
      </c>
      <c r="L37" s="586"/>
      <c r="M37" s="220"/>
      <c r="N37" s="587">
        <v>2</v>
      </c>
      <c r="O37" s="220"/>
    </row>
    <row r="38" spans="3:20" ht="13.4" customHeight="1">
      <c r="C38" s="221" t="s">
        <v>1493</v>
      </c>
      <c r="D38" s="221"/>
      <c r="F38" s="588">
        <v>36.700000000000003</v>
      </c>
      <c r="K38" s="221" t="s">
        <v>1507</v>
      </c>
      <c r="L38" s="586"/>
      <c r="M38" s="220"/>
      <c r="N38" s="587">
        <v>5.6</v>
      </c>
    </row>
    <row r="39" spans="3:20" ht="12.75" customHeight="1">
      <c r="C39" s="221" t="s">
        <v>1572</v>
      </c>
      <c r="D39" s="221"/>
      <c r="F39" s="588">
        <v>5.2</v>
      </c>
      <c r="K39" s="221" t="s">
        <v>1510</v>
      </c>
      <c r="L39" s="586"/>
      <c r="M39" s="220"/>
      <c r="N39" s="587">
        <v>3.1</v>
      </c>
    </row>
    <row r="40" spans="3:20" ht="12.75" customHeight="1">
      <c r="C40" s="221" t="s">
        <v>1485</v>
      </c>
      <c r="D40" s="221"/>
      <c r="F40" s="588">
        <v>67.7</v>
      </c>
      <c r="K40" s="221" t="s">
        <v>1513</v>
      </c>
      <c r="L40" s="586"/>
      <c r="M40" s="220"/>
      <c r="N40" s="587">
        <v>30.3</v>
      </c>
      <c r="P40" s="220"/>
      <c r="R40" s="220"/>
    </row>
    <row r="41" spans="3:20" ht="12.75" customHeight="1">
      <c r="C41" s="689" t="s">
        <v>1589</v>
      </c>
      <c r="D41" s="689"/>
      <c r="F41" s="588">
        <v>1.4</v>
      </c>
      <c r="K41" s="221" t="s">
        <v>1550</v>
      </c>
      <c r="L41" s="586"/>
      <c r="M41" s="220"/>
      <c r="N41" s="587">
        <v>5.2</v>
      </c>
      <c r="R41" s="228"/>
    </row>
    <row r="42" spans="3:20" ht="12.75" customHeight="1">
      <c r="C42" s="221" t="s">
        <v>1495</v>
      </c>
      <c r="D42" s="221"/>
      <c r="F42" s="588">
        <v>37.1</v>
      </c>
      <c r="K42" s="221" t="s">
        <v>1503</v>
      </c>
      <c r="L42" s="586"/>
      <c r="M42" s="220"/>
      <c r="N42" s="587">
        <v>14.2</v>
      </c>
      <c r="R42" s="228"/>
      <c r="T42" s="288"/>
    </row>
    <row r="43" spans="3:20" ht="12.75" customHeight="1">
      <c r="C43" s="221" t="s">
        <v>1538</v>
      </c>
      <c r="D43" s="221"/>
      <c r="F43" s="588">
        <v>9</v>
      </c>
      <c r="T43" s="288"/>
    </row>
    <row r="44" spans="3:20" ht="13.4" customHeight="1">
      <c r="C44" s="689" t="s">
        <v>1539</v>
      </c>
      <c r="D44" s="689"/>
      <c r="F44" s="588">
        <v>150</v>
      </c>
      <c r="J44" s="218" t="s">
        <v>182</v>
      </c>
      <c r="K44" s="218"/>
      <c r="L44" s="220"/>
      <c r="M44" s="220"/>
      <c r="N44" s="220"/>
      <c r="O44" s="555"/>
      <c r="T44" s="288"/>
    </row>
    <row r="45" spans="3:20" ht="12.75" customHeight="1">
      <c r="C45" s="689" t="s">
        <v>1545</v>
      </c>
      <c r="D45" s="689"/>
      <c r="F45" s="588">
        <v>286.60000000000002</v>
      </c>
      <c r="K45" s="292"/>
      <c r="O45" s="556"/>
      <c r="Q45" s="974"/>
      <c r="T45" s="288"/>
    </row>
    <row r="46" spans="3:20" ht="12.75" customHeight="1">
      <c r="C46" s="689" t="s">
        <v>198</v>
      </c>
      <c r="D46" s="586"/>
      <c r="E46" s="220"/>
      <c r="F46" s="587">
        <v>244.3</v>
      </c>
      <c r="J46" s="221"/>
      <c r="K46" s="221" t="s">
        <v>185</v>
      </c>
      <c r="L46" s="586"/>
      <c r="M46" s="220"/>
      <c r="N46" s="600">
        <v>31714.9</v>
      </c>
      <c r="O46" s="220" t="s">
        <v>176</v>
      </c>
      <c r="Q46" s="1005"/>
      <c r="T46" s="288"/>
    </row>
    <row r="47" spans="3:20" ht="12.75" customHeight="1">
      <c r="C47" s="689" t="s">
        <v>199</v>
      </c>
      <c r="D47" s="586"/>
      <c r="E47" s="220"/>
      <c r="F47" s="587">
        <v>42.8</v>
      </c>
      <c r="J47" s="221"/>
      <c r="K47" s="221" t="s">
        <v>186</v>
      </c>
      <c r="L47" s="586"/>
      <c r="M47" s="220"/>
      <c r="N47" s="587">
        <v>8087.3</v>
      </c>
      <c r="O47" s="556"/>
      <c r="T47" s="288"/>
    </row>
    <row r="48" spans="3:20" ht="12.75" customHeight="1">
      <c r="C48" s="689" t="s">
        <v>1590</v>
      </c>
      <c r="D48" s="701"/>
      <c r="E48" s="220"/>
      <c r="F48" s="588">
        <v>1.4</v>
      </c>
      <c r="J48" s="221"/>
      <c r="K48" s="221" t="s">
        <v>189</v>
      </c>
      <c r="L48" s="586"/>
      <c r="M48" s="220"/>
      <c r="N48" s="587">
        <v>900.5</v>
      </c>
      <c r="O48" s="556"/>
      <c r="T48" s="288"/>
    </row>
    <row r="49" spans="1:21" ht="12.75" customHeight="1">
      <c r="C49" s="689" t="s">
        <v>1497</v>
      </c>
      <c r="D49" s="586"/>
      <c r="E49" s="220"/>
      <c r="F49" s="587">
        <v>52.1</v>
      </c>
      <c r="K49" s="221" t="s">
        <v>191</v>
      </c>
      <c r="L49" s="701"/>
      <c r="M49" s="220"/>
      <c r="N49" s="588">
        <v>2305</v>
      </c>
      <c r="S49" s="974"/>
      <c r="T49" s="288"/>
    </row>
    <row r="50" spans="1:21" ht="13.5" customHeight="1">
      <c r="C50" s="689" t="s">
        <v>1480</v>
      </c>
      <c r="D50" s="586"/>
      <c r="E50" s="220"/>
      <c r="F50" s="587">
        <v>143.1</v>
      </c>
      <c r="S50" s="974"/>
    </row>
    <row r="51" spans="1:21" ht="12.75" customHeight="1">
      <c r="C51" s="689" t="s">
        <v>200</v>
      </c>
      <c r="D51" s="586"/>
      <c r="E51" s="220"/>
      <c r="F51" s="587">
        <v>3.1</v>
      </c>
      <c r="J51" s="220" t="s">
        <v>1477</v>
      </c>
      <c r="K51" s="221"/>
    </row>
    <row r="52" spans="1:21" ht="12.75" customHeight="1">
      <c r="C52" s="689" t="s">
        <v>1546</v>
      </c>
      <c r="D52" s="586"/>
      <c r="E52" s="220"/>
      <c r="F52" s="587">
        <v>2.1</v>
      </c>
      <c r="J52" s="220" t="s">
        <v>1533</v>
      </c>
      <c r="K52" s="221"/>
      <c r="L52" s="220"/>
      <c r="M52" s="220"/>
      <c r="N52" s="220"/>
    </row>
    <row r="53" spans="1:21" ht="13.4" customHeight="1">
      <c r="C53" s="689" t="s">
        <v>1540</v>
      </c>
      <c r="D53" s="701"/>
      <c r="E53" s="220"/>
      <c r="F53" s="588">
        <v>35.200000000000003</v>
      </c>
      <c r="G53" s="572"/>
      <c r="J53" s="220" t="s">
        <v>1595</v>
      </c>
      <c r="K53" s="221"/>
      <c r="L53" s="220"/>
      <c r="M53" s="220"/>
      <c r="N53" s="220"/>
    </row>
    <row r="54" spans="1:21" ht="12.75" customHeight="1">
      <c r="C54" s="689" t="s">
        <v>1547</v>
      </c>
      <c r="D54" s="701"/>
      <c r="E54" s="220"/>
      <c r="F54" s="588">
        <v>1.6</v>
      </c>
      <c r="G54" s="229"/>
      <c r="I54" s="221"/>
      <c r="J54" s="221" t="s">
        <v>103</v>
      </c>
      <c r="K54" s="556"/>
      <c r="N54" s="556"/>
      <c r="P54" s="229"/>
      <c r="S54" s="219"/>
      <c r="T54" s="288"/>
      <c r="U54" s="288"/>
    </row>
    <row r="55" spans="1:21" ht="12.75" customHeight="1">
      <c r="A55" s="220"/>
      <c r="C55" s="689" t="s">
        <v>201</v>
      </c>
      <c r="D55" s="586"/>
      <c r="E55" s="220"/>
      <c r="F55" s="587">
        <v>2.6</v>
      </c>
      <c r="G55" s="229"/>
      <c r="J55" s="221" t="s">
        <v>103</v>
      </c>
      <c r="K55" s="556"/>
      <c r="N55" s="556"/>
      <c r="P55" s="229"/>
      <c r="S55" s="231"/>
      <c r="T55" s="288"/>
      <c r="U55" s="288"/>
    </row>
    <row r="56" spans="1:21" ht="12.75" customHeight="1">
      <c r="A56" s="220"/>
      <c r="C56" s="689" t="s">
        <v>1494</v>
      </c>
      <c r="D56" s="586"/>
      <c r="E56" s="220"/>
      <c r="F56" s="587">
        <v>23.6</v>
      </c>
      <c r="G56" s="220"/>
      <c r="J56" s="218" t="s">
        <v>1594</v>
      </c>
      <c r="K56" s="556"/>
      <c r="N56" s="556"/>
      <c r="P56" s="229"/>
      <c r="S56" s="231"/>
      <c r="T56" s="288"/>
      <c r="U56" s="288"/>
    </row>
    <row r="57" spans="1:21" ht="12.75" customHeight="1">
      <c r="A57" s="220"/>
      <c r="B57" s="220"/>
      <c r="C57" s="221" t="s">
        <v>202</v>
      </c>
      <c r="D57" s="220"/>
      <c r="F57" s="588">
        <v>1515.7</v>
      </c>
      <c r="G57" s="220"/>
      <c r="J57" s="220" t="s">
        <v>1575</v>
      </c>
      <c r="K57" s="556"/>
      <c r="N57" s="556"/>
      <c r="P57" s="229"/>
      <c r="Q57" s="220"/>
      <c r="R57" s="587"/>
      <c r="S57" s="232"/>
      <c r="T57" s="288"/>
      <c r="U57" s="288"/>
    </row>
    <row r="58" spans="1:21" ht="12.75" customHeight="1">
      <c r="A58" s="220"/>
      <c r="B58" s="220"/>
      <c r="C58" s="689" t="s">
        <v>1563</v>
      </c>
      <c r="D58" s="220"/>
      <c r="F58" s="588">
        <v>100</v>
      </c>
      <c r="G58" s="220"/>
      <c r="K58" s="220"/>
      <c r="L58" s="220"/>
      <c r="M58" s="220"/>
      <c r="N58" s="1312"/>
      <c r="O58" s="229"/>
      <c r="P58" s="229"/>
      <c r="R58" s="223"/>
    </row>
    <row r="59" spans="1:21" ht="12.75" customHeight="1">
      <c r="A59" s="220"/>
      <c r="B59" s="220"/>
      <c r="C59" s="220"/>
      <c r="D59" s="220"/>
      <c r="E59" s="220"/>
      <c r="F59" s="220"/>
      <c r="G59" s="220"/>
      <c r="P59" s="229"/>
      <c r="R59" s="223"/>
    </row>
    <row r="60" spans="1:21" ht="12.75" customHeight="1">
      <c r="A60" s="220"/>
      <c r="C60" s="220"/>
      <c r="D60" s="220"/>
      <c r="E60" s="220"/>
      <c r="F60" s="220"/>
      <c r="G60" s="220"/>
      <c r="P60" s="229"/>
      <c r="R60" s="557"/>
    </row>
    <row r="61" spans="1:21" ht="12.75" customHeight="1">
      <c r="A61" s="220"/>
      <c r="C61" s="220"/>
      <c r="D61" s="220"/>
      <c r="E61" s="220"/>
      <c r="F61" s="220"/>
      <c r="G61" s="1312" t="s">
        <v>103</v>
      </c>
      <c r="P61" s="229"/>
      <c r="R61" s="557"/>
    </row>
    <row r="62" spans="1:21" ht="12.75" customHeight="1">
      <c r="A62" s="220"/>
      <c r="C62" s="220"/>
      <c r="D62" s="220"/>
      <c r="E62" s="220"/>
      <c r="F62" s="220"/>
      <c r="G62" s="220"/>
      <c r="I62" s="221"/>
      <c r="J62" s="221"/>
      <c r="K62" s="220"/>
      <c r="L62" s="220"/>
      <c r="M62" s="220"/>
      <c r="N62" s="1312"/>
      <c r="O62" s="229"/>
      <c r="P62" s="229"/>
      <c r="R62" s="557"/>
    </row>
    <row r="63" spans="1:21" ht="12.75" customHeight="1">
      <c r="A63" s="220"/>
      <c r="B63" s="2044" t="s">
        <v>1557</v>
      </c>
      <c r="C63" s="221" t="s">
        <v>1558</v>
      </c>
      <c r="D63" s="220"/>
      <c r="E63" s="220"/>
      <c r="F63" s="220"/>
      <c r="G63" s="220"/>
      <c r="I63" s="227" t="s">
        <v>103</v>
      </c>
      <c r="J63" s="221"/>
      <c r="K63" s="220"/>
      <c r="L63" s="220"/>
      <c r="M63" s="220"/>
      <c r="N63" s="1312"/>
      <c r="O63" s="229"/>
      <c r="P63" s="229"/>
      <c r="R63" s="557"/>
    </row>
    <row r="64" spans="1:21" ht="12.75" customHeight="1">
      <c r="A64" s="220"/>
      <c r="B64" s="220"/>
      <c r="C64" s="220" t="s">
        <v>1559</v>
      </c>
      <c r="D64" s="220"/>
      <c r="E64" s="220"/>
      <c r="F64" s="220"/>
      <c r="G64" s="220"/>
      <c r="H64" s="588"/>
      <c r="I64" s="221"/>
      <c r="J64" s="221"/>
      <c r="K64" s="220"/>
      <c r="L64" s="220"/>
      <c r="M64" s="220"/>
      <c r="N64" s="1312"/>
      <c r="O64" s="229"/>
      <c r="P64" s="229"/>
      <c r="R64" s="557"/>
    </row>
    <row r="65" spans="1:19" ht="12.75" customHeight="1">
      <c r="A65" s="220"/>
      <c r="B65" s="220"/>
      <c r="C65" s="221" t="s">
        <v>1560</v>
      </c>
      <c r="D65" s="220"/>
      <c r="E65" s="220"/>
      <c r="F65" s="220"/>
      <c r="G65" s="220"/>
      <c r="I65" s="221"/>
      <c r="J65" s="221"/>
      <c r="K65" s="220"/>
      <c r="L65" s="220"/>
      <c r="M65" s="220"/>
      <c r="N65" s="1312"/>
      <c r="O65" s="220"/>
      <c r="P65" s="229"/>
      <c r="R65" s="557"/>
    </row>
    <row r="66" spans="1:19" ht="12.75" customHeight="1">
      <c r="A66" s="220"/>
      <c r="B66" s="220"/>
      <c r="C66" s="221" t="s">
        <v>1593</v>
      </c>
      <c r="D66" s="220"/>
      <c r="E66" s="220"/>
      <c r="F66" s="220"/>
      <c r="G66" s="220"/>
      <c r="I66" s="221"/>
      <c r="J66" s="221"/>
      <c r="K66" s="220"/>
      <c r="L66" s="220"/>
      <c r="M66" s="220"/>
      <c r="N66" s="1312"/>
      <c r="O66" s="229"/>
      <c r="P66" s="229"/>
    </row>
    <row r="67" spans="1:19" ht="12.75" customHeight="1">
      <c r="A67" s="220"/>
      <c r="B67" s="292"/>
      <c r="C67" s="292"/>
      <c r="D67" s="220"/>
      <c r="E67" s="220"/>
      <c r="F67" s="220"/>
      <c r="G67" s="220"/>
      <c r="I67" s="221"/>
      <c r="J67" s="221"/>
      <c r="K67" s="220"/>
      <c r="L67" s="220"/>
      <c r="M67" s="220"/>
      <c r="N67" s="1312"/>
      <c r="O67" s="229"/>
      <c r="P67" s="229"/>
    </row>
    <row r="68" spans="1:19" ht="12.75" customHeight="1">
      <c r="A68" s="220"/>
      <c r="B68" s="2044" t="s">
        <v>1567</v>
      </c>
      <c r="C68" s="221" t="s">
        <v>1570</v>
      </c>
      <c r="D68" s="220"/>
      <c r="E68" s="220"/>
      <c r="F68" s="220"/>
      <c r="G68" s="220"/>
      <c r="I68" s="221"/>
      <c r="J68" s="221"/>
      <c r="K68" s="220"/>
      <c r="L68" s="220"/>
      <c r="M68" s="220"/>
      <c r="N68" s="1312"/>
      <c r="O68" s="229"/>
      <c r="P68" s="229"/>
    </row>
    <row r="69" spans="1:19" ht="12.75" customHeight="1">
      <c r="A69" s="220"/>
      <c r="B69" s="292"/>
      <c r="C69" s="221" t="s">
        <v>1568</v>
      </c>
      <c r="D69" s="220"/>
      <c r="E69" s="220"/>
      <c r="F69" s="220"/>
      <c r="G69" s="220"/>
      <c r="I69" s="221"/>
      <c r="J69" s="221"/>
      <c r="K69" s="220"/>
      <c r="L69" s="220"/>
      <c r="M69" s="220"/>
      <c r="N69" s="1312"/>
      <c r="O69" s="229"/>
      <c r="P69" s="229"/>
      <c r="R69" s="557"/>
    </row>
    <row r="70" spans="1:19" ht="12.75" customHeight="1">
      <c r="A70" s="220"/>
      <c r="D70" s="220"/>
      <c r="E70" s="220"/>
      <c r="F70" s="220"/>
      <c r="G70" s="220"/>
      <c r="H70" s="229"/>
      <c r="I70" s="220"/>
      <c r="J70" s="221"/>
      <c r="K70" s="220"/>
      <c r="L70" s="220"/>
      <c r="M70" s="220"/>
      <c r="N70" s="1312"/>
      <c r="O70" s="229"/>
      <c r="P70" s="229"/>
      <c r="R70" s="557"/>
    </row>
    <row r="71" spans="1:19" ht="12.75" customHeight="1">
      <c r="A71" s="220"/>
      <c r="D71" s="220"/>
      <c r="E71" s="220"/>
      <c r="F71" s="220"/>
      <c r="G71" s="220"/>
      <c r="H71" s="229"/>
      <c r="I71" s="229"/>
      <c r="J71" s="221"/>
      <c r="K71" s="220"/>
      <c r="L71" s="220"/>
      <c r="M71" s="220"/>
      <c r="N71" s="1312"/>
      <c r="O71" s="229"/>
      <c r="P71" s="220"/>
      <c r="R71" s="557"/>
    </row>
    <row r="72" spans="1:19" s="229" customFormat="1" ht="12.75" customHeight="1">
      <c r="J72" s="221"/>
      <c r="K72" s="220"/>
      <c r="L72" s="220"/>
      <c r="M72" s="220"/>
      <c r="N72" s="1312"/>
      <c r="P72" s="220"/>
      <c r="R72" s="557"/>
    </row>
    <row r="73" spans="1:19" s="229" customFormat="1" ht="12.75" customHeight="1">
      <c r="A73" s="292"/>
      <c r="H73" s="572"/>
      <c r="I73" s="572"/>
      <c r="J73" s="292"/>
      <c r="K73" s="220"/>
      <c r="L73" s="220"/>
      <c r="M73" s="220"/>
      <c r="N73" s="1312"/>
      <c r="O73" s="572"/>
      <c r="P73" s="572"/>
      <c r="R73" s="557"/>
    </row>
    <row r="74" spans="1:19" ht="12.75" customHeight="1">
      <c r="A74" s="292"/>
      <c r="H74" s="572"/>
      <c r="I74" s="572"/>
      <c r="J74" s="221"/>
      <c r="K74" s="220"/>
      <c r="L74" s="220"/>
      <c r="M74" s="220"/>
      <c r="N74" s="1312"/>
      <c r="R74" s="233"/>
    </row>
    <row r="75" spans="1:19" ht="12.75" customHeight="1">
      <c r="H75" s="1003"/>
      <c r="I75" s="220"/>
      <c r="K75" s="220"/>
      <c r="L75" s="220"/>
      <c r="M75" s="220"/>
      <c r="N75" s="1312"/>
      <c r="R75" s="220"/>
      <c r="S75" s="220"/>
    </row>
    <row r="76" spans="1:19" ht="12.75" customHeight="1">
      <c r="H76" s="1003"/>
      <c r="R76" s="220"/>
      <c r="S76" s="220"/>
    </row>
    <row r="77" spans="1:19" ht="12.75" customHeight="1">
      <c r="H77" s="572"/>
      <c r="I77" s="220"/>
      <c r="R77" s="220"/>
      <c r="S77" s="220"/>
    </row>
    <row r="78" spans="1:19" ht="12.75" customHeight="1">
      <c r="A78" s="227" t="s">
        <v>103</v>
      </c>
      <c r="B78" s="221" t="s">
        <v>103</v>
      </c>
      <c r="H78" s="572"/>
      <c r="J78" s="221" t="s">
        <v>103</v>
      </c>
      <c r="R78" s="220"/>
      <c r="S78" s="220"/>
    </row>
    <row r="79" spans="1:19" ht="12.75" customHeight="1">
      <c r="A79" s="292"/>
      <c r="B79" s="220" t="s">
        <v>103</v>
      </c>
      <c r="H79" s="572"/>
      <c r="J79" s="220" t="s">
        <v>103</v>
      </c>
      <c r="R79" s="220"/>
      <c r="S79" s="220"/>
    </row>
    <row r="80" spans="1:19" ht="12.75" customHeight="1">
      <c r="A80" s="292"/>
      <c r="B80" s="221" t="s">
        <v>103</v>
      </c>
      <c r="H80" s="572"/>
      <c r="J80" s="221" t="s">
        <v>103</v>
      </c>
      <c r="R80" s="220"/>
      <c r="S80" s="220"/>
    </row>
    <row r="81" spans="1:19" ht="12.75" customHeight="1">
      <c r="A81" s="292"/>
      <c r="B81" s="221" t="s">
        <v>103</v>
      </c>
      <c r="H81" s="572"/>
      <c r="I81" s="221"/>
      <c r="J81" s="221" t="s">
        <v>103</v>
      </c>
      <c r="R81" s="220"/>
      <c r="S81" s="220"/>
    </row>
    <row r="82" spans="1:19" ht="12.75" customHeight="1">
      <c r="H82" s="572"/>
      <c r="I82" s="221"/>
      <c r="J82" s="221" t="s">
        <v>103</v>
      </c>
      <c r="M82" s="234"/>
      <c r="N82" s="235"/>
      <c r="R82" s="220"/>
      <c r="S82" s="237"/>
    </row>
    <row r="83" spans="1:19" ht="12.75" customHeight="1">
      <c r="A83" s="227" t="s">
        <v>103</v>
      </c>
      <c r="B83" s="221" t="s">
        <v>103</v>
      </c>
      <c r="H83" s="572"/>
      <c r="I83" s="572"/>
      <c r="M83" s="234"/>
      <c r="N83" s="235"/>
      <c r="R83" s="237"/>
      <c r="S83" s="237"/>
    </row>
    <row r="84" spans="1:19" ht="12.75" customHeight="1">
      <c r="A84" s="292" t="s">
        <v>103</v>
      </c>
      <c r="B84" s="220" t="s">
        <v>103</v>
      </c>
      <c r="C84" s="221"/>
      <c r="D84" s="586"/>
      <c r="E84" s="220"/>
      <c r="F84" s="587"/>
      <c r="G84" s="572"/>
      <c r="H84" s="932"/>
      <c r="I84" s="572"/>
      <c r="J84" s="221" t="s">
        <v>103</v>
      </c>
      <c r="M84" s="234"/>
      <c r="N84" s="235"/>
      <c r="P84" s="235"/>
      <c r="R84" s="237"/>
    </row>
    <row r="85" spans="1:19" ht="12.75" customHeight="1">
      <c r="B85" s="220"/>
      <c r="C85" s="221"/>
      <c r="F85" s="587"/>
      <c r="G85" s="572"/>
      <c r="H85" s="588"/>
      <c r="I85" s="572"/>
      <c r="J85" s="220" t="s">
        <v>103</v>
      </c>
      <c r="M85" s="234"/>
      <c r="N85" s="235"/>
      <c r="P85" s="224"/>
      <c r="R85" s="237"/>
    </row>
    <row r="86" spans="1:19" ht="12.75" customHeight="1">
      <c r="B86" s="220"/>
      <c r="C86" s="968"/>
      <c r="D86" s="586"/>
      <c r="E86" s="220"/>
      <c r="F86" s="587"/>
      <c r="G86" s="572"/>
      <c r="H86" s="588"/>
      <c r="I86" s="572"/>
      <c r="J86" s="221" t="s">
        <v>103</v>
      </c>
      <c r="M86" s="234"/>
      <c r="N86" s="235"/>
      <c r="P86" s="224"/>
      <c r="R86" s="237"/>
    </row>
    <row r="87" spans="1:19" ht="12.75" customHeight="1">
      <c r="A87" s="229"/>
      <c r="B87" s="220"/>
      <c r="C87" s="980"/>
      <c r="F87" s="588"/>
      <c r="G87" s="572"/>
      <c r="H87" s="588"/>
      <c r="I87" s="572"/>
      <c r="J87" s="221" t="s">
        <v>103</v>
      </c>
      <c r="M87" s="234"/>
      <c r="N87" s="235"/>
      <c r="P87" s="224"/>
      <c r="R87" s="220"/>
    </row>
    <row r="88" spans="1:19" ht="12.75" customHeight="1">
      <c r="A88" s="292"/>
      <c r="B88" s="292"/>
      <c r="C88" s="980"/>
      <c r="F88" s="587"/>
      <c r="G88" s="689"/>
      <c r="H88" s="588"/>
      <c r="I88" s="572"/>
      <c r="J88" s="221" t="s">
        <v>103</v>
      </c>
      <c r="M88" s="234"/>
      <c r="N88" s="235"/>
      <c r="P88" s="224"/>
      <c r="R88" s="220"/>
    </row>
    <row r="89" spans="1:19" ht="12.65" customHeight="1">
      <c r="A89" s="227"/>
      <c r="B89" s="221"/>
      <c r="C89" s="555"/>
      <c r="F89" s="555"/>
      <c r="G89" s="572"/>
      <c r="H89" s="588"/>
      <c r="I89" s="572"/>
      <c r="M89" s="234"/>
      <c r="N89" s="235"/>
      <c r="P89" s="224"/>
      <c r="R89" s="220"/>
    </row>
    <row r="90" spans="1:19" ht="12.75" customHeight="1">
      <c r="B90" s="220"/>
      <c r="H90" s="588"/>
      <c r="I90" s="221"/>
      <c r="M90" s="234"/>
      <c r="N90" s="235"/>
      <c r="P90" s="224"/>
    </row>
    <row r="91" spans="1:19" ht="12.75" customHeight="1">
      <c r="H91" s="588"/>
      <c r="I91" s="221"/>
      <c r="M91" s="234"/>
      <c r="N91" s="235"/>
      <c r="P91" s="224"/>
    </row>
    <row r="92" spans="1:19" ht="12.65" customHeight="1">
      <c r="I92" s="221"/>
      <c r="M92" s="234"/>
      <c r="N92" s="235"/>
      <c r="P92" s="224"/>
    </row>
    <row r="93" spans="1:19">
      <c r="I93" s="221"/>
      <c r="M93" s="234"/>
      <c r="N93" s="235"/>
      <c r="P93" s="224"/>
      <c r="Q93" s="220"/>
    </row>
    <row r="94" spans="1:19">
      <c r="I94" s="221"/>
      <c r="J94" s="221"/>
      <c r="K94" s="220"/>
      <c r="L94" s="230"/>
      <c r="M94" s="234"/>
      <c r="N94" s="234"/>
      <c r="P94" s="224"/>
      <c r="Q94" s="220"/>
    </row>
    <row r="95" spans="1:19">
      <c r="A95" s="229"/>
      <c r="B95" s="220"/>
      <c r="E95" s="572"/>
      <c r="F95" s="572"/>
      <c r="G95" s="572"/>
      <c r="I95" s="221"/>
      <c r="J95" s="221"/>
      <c r="K95" s="220"/>
      <c r="L95" s="230"/>
      <c r="M95" s="234"/>
      <c r="N95" s="234"/>
      <c r="Q95" s="220"/>
    </row>
    <row r="96" spans="1:19">
      <c r="A96" s="572"/>
      <c r="B96" s="572"/>
      <c r="C96" s="572"/>
      <c r="D96" s="572"/>
      <c r="E96" s="572"/>
      <c r="F96" s="572"/>
      <c r="G96" s="572"/>
      <c r="I96" s="221"/>
      <c r="P96" s="224"/>
      <c r="Q96" s="220"/>
    </row>
    <row r="97" spans="1:17">
      <c r="A97" s="572"/>
      <c r="B97" s="572"/>
      <c r="C97" s="572"/>
      <c r="D97" s="572"/>
      <c r="E97" s="572"/>
      <c r="F97" s="572"/>
      <c r="G97" s="572"/>
      <c r="P97" s="224"/>
      <c r="Q97" s="220"/>
    </row>
    <row r="98" spans="1:17">
      <c r="A98" s="572"/>
      <c r="B98" s="572"/>
      <c r="C98" s="572"/>
      <c r="D98" s="572"/>
      <c r="E98" s="572"/>
      <c r="F98" s="572"/>
      <c r="G98" s="572"/>
      <c r="P98" s="224"/>
      <c r="Q98" s="220"/>
    </row>
    <row r="99" spans="1:17">
      <c r="A99" s="572"/>
      <c r="B99" s="572"/>
      <c r="C99" s="572"/>
      <c r="D99" s="572"/>
      <c r="E99" s="572"/>
      <c r="F99" s="572"/>
      <c r="G99" s="572"/>
      <c r="P99" s="224"/>
      <c r="Q99" s="220"/>
    </row>
    <row r="100" spans="1:17">
      <c r="A100" s="572"/>
      <c r="B100" s="572"/>
      <c r="C100" s="572"/>
      <c r="D100" s="572"/>
      <c r="E100" s="572"/>
      <c r="F100" s="572"/>
      <c r="G100" s="572"/>
      <c r="P100" s="220"/>
      <c r="Q100" s="220"/>
    </row>
    <row r="101" spans="1:17">
      <c r="A101" s="572"/>
      <c r="B101" s="572"/>
      <c r="C101" s="572"/>
      <c r="D101" s="572"/>
      <c r="E101" s="572"/>
      <c r="F101" s="572"/>
      <c r="G101" s="572"/>
      <c r="P101" s="220"/>
      <c r="Q101" s="220"/>
    </row>
    <row r="102" spans="1:17">
      <c r="A102" s="572"/>
      <c r="B102" s="572"/>
      <c r="C102" s="572"/>
      <c r="D102" s="572"/>
      <c r="E102" s="572"/>
      <c r="F102" s="572"/>
      <c r="G102" s="572"/>
      <c r="P102" s="220"/>
      <c r="Q102" s="220"/>
    </row>
    <row r="103" spans="1:17">
      <c r="A103" s="572"/>
      <c r="B103" s="572"/>
      <c r="C103" s="572"/>
      <c r="D103" s="572"/>
      <c r="E103" s="572"/>
      <c r="F103" s="572"/>
      <c r="G103" s="572"/>
      <c r="I103" s="224"/>
      <c r="P103" s="220"/>
      <c r="Q103" s="220"/>
    </row>
    <row r="104" spans="1:17">
      <c r="A104" s="572"/>
      <c r="B104" s="572"/>
      <c r="C104" s="572"/>
      <c r="D104" s="572"/>
      <c r="E104" s="572"/>
      <c r="F104" s="572"/>
      <c r="G104" s="572"/>
      <c r="I104" s="224"/>
      <c r="P104" s="220"/>
      <c r="Q104" s="220"/>
    </row>
    <row r="105" spans="1:17">
      <c r="A105" s="572"/>
      <c r="B105" s="572"/>
      <c r="C105" s="572"/>
      <c r="D105" s="572"/>
      <c r="E105" s="572"/>
      <c r="F105" s="572"/>
      <c r="I105" s="224"/>
      <c r="P105" s="220"/>
      <c r="Q105" s="220"/>
    </row>
    <row r="106" spans="1:17">
      <c r="A106" s="572"/>
      <c r="I106" s="224"/>
      <c r="P106" s="220"/>
      <c r="Q106" s="220"/>
    </row>
    <row r="107" spans="1:17">
      <c r="A107" s="572"/>
      <c r="I107" s="224"/>
      <c r="P107" s="220"/>
      <c r="Q107" s="220"/>
    </row>
    <row r="108" spans="1:17">
      <c r="A108" s="572"/>
      <c r="G108" s="572"/>
      <c r="I108" s="224"/>
      <c r="O108" s="220"/>
      <c r="Q108" s="220"/>
    </row>
    <row r="109" spans="1:17">
      <c r="B109" s="572"/>
      <c r="C109" s="572"/>
      <c r="D109" s="572"/>
      <c r="E109" s="572"/>
      <c r="F109" s="572"/>
      <c r="G109" s="572"/>
      <c r="I109" s="572"/>
      <c r="O109" s="220"/>
      <c r="P109" s="220"/>
      <c r="Q109" s="220"/>
    </row>
    <row r="110" spans="1:17">
      <c r="B110" s="572"/>
      <c r="C110" s="572"/>
      <c r="D110" s="572"/>
      <c r="E110" s="572"/>
      <c r="F110" s="572"/>
      <c r="G110" s="572"/>
      <c r="I110" s="220"/>
      <c r="J110" s="221"/>
      <c r="K110" s="220"/>
      <c r="L110" s="230"/>
      <c r="M110" s="234"/>
      <c r="N110" s="234"/>
      <c r="O110" s="220"/>
      <c r="P110" s="236"/>
      <c r="Q110" s="220"/>
    </row>
    <row r="111" spans="1:17">
      <c r="A111" s="572"/>
      <c r="B111" s="572"/>
      <c r="C111" s="572"/>
      <c r="D111" s="572"/>
      <c r="E111" s="572"/>
      <c r="F111" s="572"/>
      <c r="G111" s="572"/>
      <c r="I111" s="221"/>
      <c r="J111" s="221"/>
      <c r="K111" s="220"/>
      <c r="L111" s="230"/>
      <c r="M111" s="234"/>
      <c r="N111" s="234"/>
      <c r="O111" s="220"/>
      <c r="P111" s="220"/>
      <c r="Q111" s="220"/>
    </row>
    <row r="112" spans="1:17">
      <c r="A112" s="572"/>
      <c r="B112" s="572"/>
      <c r="C112" s="572"/>
      <c r="D112" s="572"/>
      <c r="E112" s="572"/>
      <c r="F112" s="572"/>
      <c r="G112" s="572"/>
      <c r="I112" s="221"/>
      <c r="J112" s="556"/>
      <c r="K112" s="220"/>
      <c r="L112" s="230"/>
      <c r="M112" s="234"/>
      <c r="N112" s="234"/>
      <c r="O112" s="220"/>
      <c r="P112" s="238"/>
      <c r="Q112" s="220"/>
    </row>
    <row r="113" spans="1:17">
      <c r="A113" s="572"/>
      <c r="B113" s="572"/>
      <c r="C113" s="572"/>
      <c r="D113" s="572"/>
      <c r="E113" s="572"/>
      <c r="F113" s="572"/>
      <c r="G113" s="572"/>
      <c r="I113" s="221"/>
      <c r="J113" s="556"/>
      <c r="K113" s="220"/>
      <c r="L113" s="230"/>
      <c r="M113" s="234"/>
      <c r="N113" s="234"/>
      <c r="O113" s="220"/>
      <c r="P113" s="220"/>
    </row>
    <row r="114" spans="1:17">
      <c r="A114" s="572"/>
      <c r="B114" s="572"/>
      <c r="C114" s="572"/>
      <c r="D114" s="572"/>
      <c r="E114" s="572"/>
      <c r="F114" s="572"/>
      <c r="G114" s="572"/>
      <c r="I114" s="221"/>
      <c r="O114" s="220"/>
      <c r="P114" s="220"/>
      <c r="Q114" s="220"/>
    </row>
    <row r="115" spans="1:17">
      <c r="A115" s="572"/>
      <c r="B115" s="572"/>
      <c r="C115" s="572"/>
      <c r="D115" s="572"/>
      <c r="E115" s="572"/>
      <c r="F115" s="572"/>
      <c r="G115" s="572"/>
      <c r="I115" s="221"/>
      <c r="O115" s="220"/>
      <c r="P115" s="220"/>
      <c r="Q115" s="236"/>
    </row>
    <row r="116" spans="1:17">
      <c r="A116" s="572"/>
      <c r="B116" s="572"/>
      <c r="C116" s="572"/>
      <c r="D116" s="572"/>
      <c r="E116" s="572"/>
      <c r="F116" s="572"/>
      <c r="G116" s="572"/>
      <c r="I116" s="221"/>
      <c r="O116" s="220"/>
      <c r="P116" s="220"/>
      <c r="Q116" s="220"/>
    </row>
    <row r="117" spans="1:17">
      <c r="A117" s="572"/>
      <c r="B117" s="572"/>
      <c r="C117" s="572"/>
      <c r="D117" s="572"/>
      <c r="E117" s="572"/>
      <c r="F117" s="572"/>
      <c r="G117" s="572"/>
      <c r="I117" s="221"/>
      <c r="J117" s="221"/>
      <c r="K117" s="220"/>
      <c r="L117" s="220"/>
      <c r="M117" s="220"/>
      <c r="N117" s="220"/>
      <c r="O117" s="220"/>
      <c r="P117" s="220"/>
      <c r="Q117" s="220"/>
    </row>
    <row r="118" spans="1:17">
      <c r="A118" s="572"/>
      <c r="B118" s="572"/>
      <c r="C118" s="572"/>
      <c r="D118" s="572"/>
      <c r="E118" s="572"/>
      <c r="F118" s="572"/>
      <c r="G118" s="572"/>
      <c r="I118" s="221"/>
      <c r="J118" s="221"/>
      <c r="K118" s="220"/>
      <c r="L118" s="220"/>
      <c r="M118" s="220"/>
      <c r="N118" s="220"/>
      <c r="O118" s="220"/>
      <c r="P118" s="220"/>
      <c r="Q118" s="220"/>
    </row>
    <row r="119" spans="1:17">
      <c r="A119" s="572"/>
      <c r="B119" s="572"/>
      <c r="C119" s="572"/>
      <c r="D119" s="572"/>
      <c r="E119" s="572"/>
      <c r="F119" s="572"/>
      <c r="G119" s="572"/>
      <c r="I119" s="221"/>
      <c r="J119" s="221"/>
      <c r="K119" s="220"/>
      <c r="L119" s="220"/>
      <c r="M119" s="220"/>
      <c r="N119" s="220"/>
      <c r="O119" s="220"/>
      <c r="P119" s="237"/>
    </row>
    <row r="120" spans="1:17">
      <c r="A120" s="572"/>
      <c r="B120" s="572"/>
      <c r="C120" s="572"/>
      <c r="D120" s="572"/>
      <c r="E120" s="572"/>
      <c r="F120" s="572"/>
      <c r="G120" s="572"/>
      <c r="I120" s="220"/>
      <c r="J120" s="221"/>
      <c r="K120" s="220"/>
      <c r="L120" s="220"/>
      <c r="M120" s="220"/>
      <c r="N120" s="220"/>
    </row>
    <row r="121" spans="1:17">
      <c r="A121" s="572"/>
      <c r="B121" s="572"/>
      <c r="C121" s="572"/>
      <c r="D121" s="572"/>
      <c r="E121" s="572"/>
      <c r="F121" s="572"/>
      <c r="I121" s="220"/>
      <c r="J121" s="221"/>
      <c r="K121" s="220"/>
      <c r="L121" s="220"/>
      <c r="M121" s="220"/>
      <c r="N121" s="220"/>
      <c r="O121" s="220"/>
    </row>
    <row r="122" spans="1:17">
      <c r="A122" s="572"/>
      <c r="I122" s="220"/>
      <c r="J122" s="221"/>
      <c r="K122" s="220"/>
      <c r="L122" s="220"/>
      <c r="M122" s="220"/>
      <c r="N122" s="220"/>
      <c r="O122" s="220"/>
    </row>
    <row r="123" spans="1:17">
      <c r="A123" s="572"/>
      <c r="I123" s="220"/>
      <c r="J123" s="221"/>
      <c r="K123" s="220"/>
      <c r="L123" s="220"/>
      <c r="M123" s="220"/>
      <c r="N123" s="220"/>
      <c r="O123" s="220"/>
    </row>
    <row r="124" spans="1:17">
      <c r="A124" s="572"/>
      <c r="G124" s="572"/>
      <c r="I124" s="220"/>
      <c r="J124" s="221"/>
      <c r="K124" s="220"/>
      <c r="L124" s="220"/>
      <c r="M124" s="220"/>
      <c r="N124" s="220"/>
      <c r="O124" s="220"/>
    </row>
    <row r="125" spans="1:17">
      <c r="B125" s="572"/>
      <c r="C125" s="572"/>
      <c r="D125" s="572"/>
      <c r="E125" s="572"/>
      <c r="F125" s="572"/>
      <c r="G125" s="572"/>
      <c r="J125" s="221"/>
      <c r="K125" s="220"/>
      <c r="L125" s="220"/>
      <c r="M125" s="220"/>
      <c r="N125" s="220"/>
    </row>
    <row r="126" spans="1:17">
      <c r="B126" s="572"/>
      <c r="C126" s="572"/>
      <c r="D126" s="572"/>
      <c r="E126" s="572"/>
      <c r="F126" s="572"/>
      <c r="G126" s="572"/>
      <c r="J126" s="221"/>
      <c r="K126" s="220"/>
      <c r="L126" s="220"/>
      <c r="M126" s="220"/>
      <c r="N126" s="220"/>
    </row>
    <row r="127" spans="1:17">
      <c r="B127" s="572"/>
      <c r="C127" s="572"/>
      <c r="D127" s="572"/>
      <c r="E127" s="572"/>
      <c r="F127" s="572"/>
      <c r="G127" s="572"/>
      <c r="J127" s="221"/>
      <c r="K127" s="220"/>
      <c r="L127" s="220"/>
      <c r="M127" s="220"/>
      <c r="N127" s="220"/>
    </row>
    <row r="128" spans="1:17">
      <c r="A128" s="572"/>
      <c r="B128" s="572"/>
      <c r="C128" s="572"/>
      <c r="D128" s="572"/>
      <c r="E128" s="572"/>
      <c r="F128" s="572"/>
      <c r="J128" s="221"/>
      <c r="K128" s="220"/>
      <c r="L128" s="220"/>
      <c r="M128" s="220"/>
      <c r="N128" s="220"/>
    </row>
    <row r="129" spans="1:14">
      <c r="A129" s="572"/>
      <c r="J129" s="221"/>
      <c r="K129" s="220"/>
      <c r="L129" s="220"/>
      <c r="M129" s="220"/>
      <c r="N129" s="220"/>
    </row>
    <row r="130" spans="1:14">
      <c r="A130" s="572"/>
      <c r="I130" s="572"/>
      <c r="J130" s="221"/>
      <c r="K130" s="220"/>
      <c r="L130" s="220"/>
      <c r="M130" s="220"/>
      <c r="N130" s="220"/>
    </row>
    <row r="131" spans="1:14">
      <c r="A131" s="572"/>
      <c r="I131" s="572"/>
      <c r="J131" s="221"/>
      <c r="K131" s="220"/>
      <c r="L131" s="220"/>
      <c r="M131" s="220"/>
      <c r="N131" s="220"/>
    </row>
    <row r="132" spans="1:14">
      <c r="J132" s="221"/>
      <c r="K132" s="220"/>
      <c r="L132" s="239"/>
    </row>
    <row r="133" spans="1:14">
      <c r="J133" s="221"/>
      <c r="K133" s="220"/>
      <c r="L133" s="239"/>
      <c r="M133" s="220"/>
      <c r="N133" s="230"/>
    </row>
    <row r="134" spans="1:14">
      <c r="J134" s="220"/>
      <c r="K134" s="239"/>
      <c r="L134" s="572"/>
      <c r="M134" s="572"/>
      <c r="N134" s="572"/>
    </row>
    <row r="135" spans="1:14">
      <c r="J135" s="220"/>
      <c r="K135" s="240"/>
      <c r="L135" s="572"/>
      <c r="M135" s="572"/>
      <c r="N135" s="572"/>
    </row>
    <row r="136" spans="1:14">
      <c r="J136" s="220"/>
      <c r="K136" s="220"/>
      <c r="L136" s="572"/>
      <c r="M136" s="572"/>
      <c r="N136" s="572"/>
    </row>
    <row r="137" spans="1:14">
      <c r="J137" s="220"/>
      <c r="K137" s="220"/>
      <c r="L137" s="572"/>
      <c r="M137" s="572"/>
      <c r="N137" s="572"/>
    </row>
    <row r="138" spans="1:14">
      <c r="J138" s="220"/>
      <c r="L138" s="572"/>
      <c r="M138" s="572"/>
      <c r="N138" s="572"/>
    </row>
    <row r="142" spans="1:14">
      <c r="J142" s="572"/>
      <c r="K142" s="572"/>
      <c r="L142" s="572"/>
      <c r="M142" s="572"/>
      <c r="N142" s="572"/>
    </row>
    <row r="143" spans="1:14">
      <c r="J143" s="572"/>
      <c r="K143" s="572"/>
      <c r="L143" s="572"/>
      <c r="M143" s="572"/>
      <c r="N143" s="572"/>
    </row>
    <row r="144" spans="1:14">
      <c r="J144" s="572"/>
      <c r="K144" s="572"/>
      <c r="L144" s="572"/>
      <c r="M144" s="572"/>
      <c r="N144" s="572"/>
    </row>
    <row r="145" spans="10:14">
      <c r="J145" s="572"/>
      <c r="K145" s="572"/>
      <c r="L145" s="572"/>
      <c r="M145" s="572"/>
      <c r="N145" s="572"/>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A20 B63:B6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V61"/>
  <sheetViews>
    <sheetView showGridLines="0" topLeftCell="A3" zoomScale="90" zoomScaleNormal="90" workbookViewId="0"/>
  </sheetViews>
  <sheetFormatPr defaultColWidth="8.69140625" defaultRowHeight="15.5"/>
  <cols>
    <col min="1" max="1" width="1.69140625" style="451" customWidth="1"/>
    <col min="2" max="2" width="48" style="451" customWidth="1"/>
    <col min="3" max="3" width="4.53515625" style="452" customWidth="1"/>
    <col min="4" max="4" width="19" style="452" customWidth="1"/>
    <col min="5" max="5" width="1.69140625" style="452" customWidth="1"/>
    <col min="6" max="6" width="19" style="452" customWidth="1"/>
    <col min="7" max="7" width="1.69140625" style="452" customWidth="1"/>
    <col min="8" max="8" width="19" style="452" customWidth="1"/>
    <col min="9" max="9" width="1.69140625" style="452" customWidth="1"/>
    <col min="10" max="10" width="19" style="452" customWidth="1"/>
    <col min="11" max="11" width="1.84375" style="452" customWidth="1"/>
    <col min="12" max="12" width="19" style="452" customWidth="1"/>
    <col min="13" max="14" width="1.69140625" style="452" customWidth="1"/>
    <col min="15" max="15" width="19" style="452" customWidth="1"/>
    <col min="16" max="16" width="8.69140625" style="452"/>
    <col min="17" max="17" width="10.07421875" style="452" customWidth="1"/>
    <col min="18" max="18" width="1.69140625" style="452" customWidth="1"/>
    <col min="19" max="16384" width="8.69140625" style="451"/>
  </cols>
  <sheetData>
    <row r="1" spans="1:43">
      <c r="B1" s="275" t="s">
        <v>97</v>
      </c>
    </row>
    <row r="3" spans="1:43" ht="18">
      <c r="O3" s="516" t="s">
        <v>1057</v>
      </c>
    </row>
    <row r="4" spans="1:43" s="455" customFormat="1" ht="18.75" customHeight="1">
      <c r="A4" s="453"/>
      <c r="B4" s="517" t="s">
        <v>963</v>
      </c>
      <c r="C4" s="521"/>
      <c r="D4" s="521"/>
      <c r="E4" s="521"/>
      <c r="F4" s="466"/>
      <c r="G4" s="521"/>
      <c r="H4" s="466"/>
      <c r="I4" s="466"/>
      <c r="J4" s="466"/>
      <c r="K4" s="466"/>
      <c r="L4" s="466"/>
      <c r="M4" s="466"/>
      <c r="N4" s="518"/>
      <c r="O4" s="521"/>
      <c r="P4" s="454"/>
      <c r="Q4" s="454"/>
      <c r="R4" s="454"/>
    </row>
    <row r="5" spans="1:43" s="455" customFormat="1" ht="18.75" customHeight="1">
      <c r="A5" s="453"/>
      <c r="B5" s="517" t="s">
        <v>1058</v>
      </c>
      <c r="C5" s="456"/>
      <c r="D5" s="456"/>
      <c r="E5" s="456"/>
      <c r="F5" s="517"/>
      <c r="G5" s="456"/>
      <c r="H5" s="517"/>
      <c r="I5" s="517"/>
      <c r="J5" s="517"/>
      <c r="K5" s="517"/>
      <c r="L5" s="517"/>
      <c r="M5" s="517"/>
      <c r="N5" s="517"/>
      <c r="O5" s="456"/>
      <c r="P5" s="454"/>
      <c r="Q5" s="454"/>
      <c r="R5" s="454"/>
    </row>
    <row r="6" spans="1:43" s="455" customFormat="1" ht="18.75" customHeight="1">
      <c r="A6" s="453"/>
      <c r="B6" s="517" t="str">
        <f>'Public Goods '!A6</f>
        <v>FISCAL YEAR 2024-2025</v>
      </c>
      <c r="C6" s="521"/>
      <c r="D6" s="521"/>
      <c r="E6" s="521"/>
      <c r="F6" s="677"/>
      <c r="G6" s="521"/>
      <c r="H6" s="677"/>
      <c r="I6" s="677"/>
      <c r="J6" s="677"/>
      <c r="K6" s="677"/>
      <c r="L6" s="677"/>
      <c r="M6" s="677"/>
      <c r="N6" s="517"/>
      <c r="O6" s="521"/>
      <c r="P6" s="454"/>
      <c r="Q6" s="454"/>
      <c r="R6" s="454"/>
    </row>
    <row r="7" spans="1:43" s="455" customFormat="1" ht="18" customHeight="1">
      <c r="A7" s="453"/>
      <c r="B7" s="679"/>
      <c r="C7" s="522"/>
      <c r="D7" s="522"/>
      <c r="E7" s="522"/>
      <c r="F7" s="678"/>
      <c r="G7" s="522"/>
      <c r="H7" s="678"/>
      <c r="I7" s="678"/>
      <c r="J7" s="678"/>
      <c r="K7" s="678"/>
      <c r="L7" s="678"/>
      <c r="M7" s="678"/>
      <c r="N7" s="519"/>
      <c r="O7" s="522"/>
      <c r="P7" s="454"/>
      <c r="Q7" s="454"/>
      <c r="R7" s="454"/>
    </row>
    <row r="8" spans="1:43" s="455" customFormat="1" ht="18" customHeight="1">
      <c r="A8" s="453"/>
      <c r="B8" s="679"/>
      <c r="C8" s="457"/>
      <c r="D8" s="457"/>
      <c r="E8" s="457"/>
      <c r="F8" s="477"/>
      <c r="G8" s="457"/>
      <c r="H8" s="477"/>
      <c r="I8" s="477"/>
      <c r="J8" s="477"/>
      <c r="K8" s="477"/>
      <c r="L8" s="477"/>
      <c r="M8" s="477"/>
      <c r="N8" s="520"/>
      <c r="O8" s="457"/>
      <c r="P8" s="454"/>
      <c r="Q8" s="454"/>
      <c r="R8" s="454"/>
    </row>
    <row r="9" spans="1:43" s="460" customFormat="1">
      <c r="A9" s="458"/>
      <c r="B9" s="458"/>
      <c r="C9" s="459"/>
      <c r="D9" s="594" t="s">
        <v>1531</v>
      </c>
      <c r="E9" s="594"/>
      <c r="F9" s="594" t="s">
        <v>1551</v>
      </c>
      <c r="G9" s="594"/>
      <c r="H9" s="594" t="s">
        <v>1573</v>
      </c>
      <c r="I9" s="594"/>
      <c r="J9" s="594">
        <v>2025</v>
      </c>
      <c r="K9" s="594"/>
      <c r="L9" s="594">
        <v>2025</v>
      </c>
      <c r="M9" s="594"/>
      <c r="N9" s="459"/>
      <c r="O9" s="459"/>
      <c r="P9" s="459"/>
      <c r="Q9" s="459"/>
      <c r="R9" s="459"/>
    </row>
    <row r="10" spans="1:43">
      <c r="D10" s="1280" t="s">
        <v>1532</v>
      </c>
      <c r="E10" s="461"/>
      <c r="F10" s="1280" t="s">
        <v>1552</v>
      </c>
      <c r="G10" s="461"/>
      <c r="H10" s="1280" t="s">
        <v>1574</v>
      </c>
      <c r="I10" s="461"/>
      <c r="J10" s="1280" t="s">
        <v>345</v>
      </c>
      <c r="K10" s="461"/>
      <c r="L10" s="1280" t="s">
        <v>346</v>
      </c>
      <c r="M10" s="461"/>
      <c r="O10" s="461" t="str">
        <f>'Public Goods '!O10</f>
        <v>2024-2025</v>
      </c>
    </row>
    <row r="11" spans="1:43">
      <c r="O11" s="636"/>
    </row>
    <row r="12" spans="1:43" s="460" customFormat="1">
      <c r="B12" s="460" t="s">
        <v>937</v>
      </c>
      <c r="C12" s="459"/>
      <c r="D12" s="462">
        <v>6040.86</v>
      </c>
      <c r="E12" s="462"/>
      <c r="F12" s="462">
        <f>+D48</f>
        <v>16055.6</v>
      </c>
      <c r="G12" s="462"/>
      <c r="H12" s="462">
        <f>+F48</f>
        <v>46486896.119999997</v>
      </c>
      <c r="I12" s="462"/>
      <c r="J12" s="462">
        <f>+H48</f>
        <v>10627.49</v>
      </c>
      <c r="K12" s="462"/>
      <c r="L12" s="462">
        <f>+J48</f>
        <v>4397.28</v>
      </c>
      <c r="M12" s="462"/>
      <c r="N12" s="478"/>
      <c r="O12" s="462">
        <f>D12</f>
        <v>6040.86</v>
      </c>
      <c r="P12" s="459"/>
      <c r="Q12" s="459"/>
      <c r="R12" s="459"/>
      <c r="S12" s="463"/>
      <c r="T12" s="463"/>
      <c r="U12" s="463"/>
      <c r="V12" s="463"/>
      <c r="W12" s="463"/>
      <c r="X12" s="463"/>
      <c r="Y12" s="463"/>
      <c r="Z12" s="463"/>
      <c r="AA12" s="463"/>
      <c r="AB12" s="463"/>
      <c r="AC12" s="463"/>
      <c r="AD12" s="464"/>
      <c r="AE12" s="464"/>
      <c r="AF12" s="464"/>
      <c r="AG12" s="464"/>
      <c r="AH12" s="464"/>
      <c r="AI12" s="464"/>
      <c r="AJ12" s="464"/>
      <c r="AK12" s="464"/>
      <c r="AL12" s="464"/>
      <c r="AM12" s="464"/>
      <c r="AN12" s="464"/>
      <c r="AO12" s="464"/>
      <c r="AP12" s="464"/>
      <c r="AQ12" s="464"/>
    </row>
    <row r="13" spans="1:43" s="460" customFormat="1">
      <c r="C13" s="459"/>
      <c r="D13" s="462"/>
      <c r="E13" s="462"/>
      <c r="F13" s="462"/>
      <c r="G13" s="462"/>
      <c r="H13" s="462"/>
      <c r="I13" s="462"/>
      <c r="J13" s="462"/>
      <c r="K13" s="462"/>
      <c r="L13" s="462"/>
      <c r="M13" s="462"/>
      <c r="N13" s="479"/>
      <c r="O13" s="462"/>
      <c r="P13" s="459"/>
      <c r="Q13" s="459"/>
      <c r="R13" s="459"/>
      <c r="S13" s="463"/>
      <c r="T13" s="463"/>
      <c r="U13" s="463"/>
      <c r="V13" s="463"/>
      <c r="W13" s="463"/>
      <c r="X13" s="463"/>
      <c r="Y13" s="463"/>
      <c r="Z13" s="463"/>
      <c r="AA13" s="463"/>
      <c r="AB13" s="463"/>
      <c r="AC13" s="463"/>
      <c r="AD13" s="464"/>
      <c r="AE13" s="464"/>
      <c r="AF13" s="464"/>
      <c r="AG13" s="464"/>
      <c r="AH13" s="464"/>
      <c r="AI13" s="464"/>
      <c r="AJ13" s="464"/>
      <c r="AK13" s="464"/>
      <c r="AL13" s="464"/>
      <c r="AM13" s="464"/>
      <c r="AN13" s="464"/>
      <c r="AO13" s="464"/>
      <c r="AP13" s="464"/>
      <c r="AQ13" s="464"/>
    </row>
    <row r="14" spans="1:43">
      <c r="B14" s="460" t="s">
        <v>114</v>
      </c>
      <c r="N14" s="480"/>
    </row>
    <row r="15" spans="1:43">
      <c r="B15" s="456" t="s">
        <v>1035</v>
      </c>
      <c r="D15" s="465">
        <v>16055.6</v>
      </c>
      <c r="E15" s="465"/>
      <c r="F15" s="465">
        <v>9246.73</v>
      </c>
      <c r="G15" s="465"/>
      <c r="H15" s="465">
        <v>13474.54</v>
      </c>
      <c r="I15" s="465"/>
      <c r="J15" s="465">
        <v>4397.28</v>
      </c>
      <c r="K15" s="465"/>
      <c r="L15" s="465">
        <v>0</v>
      </c>
      <c r="M15" s="465"/>
      <c r="N15" s="480"/>
      <c r="O15" s="465">
        <f>ROUND(SUM(D15:M15),2)</f>
        <v>43174.15</v>
      </c>
    </row>
    <row r="16" spans="1:43" s="460" customFormat="1">
      <c r="B16" s="460" t="s">
        <v>435</v>
      </c>
      <c r="C16" s="459"/>
      <c r="D16" s="637">
        <f>ROUND(SUM(D15:D15),2)</f>
        <v>16055.6</v>
      </c>
      <c r="E16" s="483"/>
      <c r="F16" s="637">
        <f>ROUND(SUM(F15:F15),2)</f>
        <v>9246.73</v>
      </c>
      <c r="G16" s="483"/>
      <c r="H16" s="637">
        <f>ROUND(SUM(H15:H15),2)</f>
        <v>13474.54</v>
      </c>
      <c r="I16" s="483"/>
      <c r="J16" s="637">
        <f>ROUND(SUM(J15:J15),2)</f>
        <v>4397.28</v>
      </c>
      <c r="K16" s="483"/>
      <c r="L16" s="637">
        <f>ROUND(SUM(L15:L15),2)</f>
        <v>0</v>
      </c>
      <c r="M16" s="483"/>
      <c r="N16" s="480"/>
      <c r="O16" s="637">
        <f>ROUND(SUM(O15:O15),2)</f>
        <v>43174.15</v>
      </c>
      <c r="P16" s="459"/>
      <c r="Q16" s="452"/>
      <c r="R16" s="459"/>
    </row>
    <row r="17" spans="2:18">
      <c r="D17" s="465"/>
      <c r="E17" s="465"/>
      <c r="F17" s="465"/>
      <c r="G17" s="465"/>
      <c r="H17" s="465"/>
      <c r="I17" s="465"/>
      <c r="J17" s="465"/>
      <c r="K17" s="465"/>
      <c r="L17" s="465"/>
      <c r="M17" s="465"/>
      <c r="N17" s="480"/>
      <c r="O17" s="638"/>
    </row>
    <row r="18" spans="2:18">
      <c r="B18" s="460" t="s">
        <v>1059</v>
      </c>
      <c r="D18" s="465"/>
      <c r="E18" s="465"/>
      <c r="F18" s="465"/>
      <c r="G18" s="465"/>
      <c r="H18" s="465"/>
      <c r="I18" s="465"/>
      <c r="J18" s="465"/>
      <c r="K18" s="465"/>
      <c r="L18" s="465"/>
      <c r="M18" s="465"/>
      <c r="N18" s="480"/>
      <c r="O18" s="465"/>
    </row>
    <row r="19" spans="2:18">
      <c r="B19" s="456" t="s">
        <v>1060</v>
      </c>
      <c r="D19" s="465">
        <v>-140483796.27000001</v>
      </c>
      <c r="E19" s="465"/>
      <c r="F19" s="465">
        <v>-93654078.180000007</v>
      </c>
      <c r="G19" s="465"/>
      <c r="H19" s="465">
        <v>-140481117.27000001</v>
      </c>
      <c r="I19" s="465"/>
      <c r="J19" s="465">
        <v>-83114691.090000004</v>
      </c>
      <c r="K19" s="465"/>
      <c r="L19" s="465">
        <v>0</v>
      </c>
      <c r="M19" s="465"/>
      <c r="N19" s="480"/>
      <c r="O19" s="465">
        <f>ROUND(SUM(D19:M19),2)</f>
        <v>-457733682.81</v>
      </c>
    </row>
    <row r="20" spans="2:18">
      <c r="B20" s="456" t="s">
        <v>1061</v>
      </c>
      <c r="D20" s="465">
        <v>0</v>
      </c>
      <c r="E20" s="465"/>
      <c r="F20" s="465">
        <v>0</v>
      </c>
      <c r="G20" s="465"/>
      <c r="H20" s="465">
        <v>0</v>
      </c>
      <c r="I20" s="465"/>
      <c r="J20" s="465">
        <v>0</v>
      </c>
      <c r="K20" s="465"/>
      <c r="L20" s="465">
        <v>0</v>
      </c>
      <c r="M20" s="465"/>
      <c r="N20" s="480"/>
      <c r="O20" s="465">
        <f>ROUND(SUM(D20:M20),2)</f>
        <v>0</v>
      </c>
    </row>
    <row r="21" spans="2:18">
      <c r="B21" s="456" t="s">
        <v>1062</v>
      </c>
      <c r="D21" s="465">
        <v>1409712.45</v>
      </c>
      <c r="E21" s="465"/>
      <c r="F21" s="465">
        <v>863664.58</v>
      </c>
      <c r="G21" s="465"/>
      <c r="H21" s="465">
        <v>635527.43999999994</v>
      </c>
      <c r="I21" s="465"/>
      <c r="J21" s="465">
        <v>310065.56</v>
      </c>
      <c r="K21" s="465"/>
      <c r="L21" s="465">
        <v>0</v>
      </c>
      <c r="M21" s="465"/>
      <c r="N21" s="481"/>
      <c r="O21" s="465">
        <f>ROUND(SUM(D21:M21),2)</f>
        <v>3218970.03</v>
      </c>
    </row>
    <row r="22" spans="2:18" s="460" customFormat="1">
      <c r="B22" s="466" t="s">
        <v>1063</v>
      </c>
      <c r="C22" s="459"/>
      <c r="D22" s="639">
        <f>ROUND(SUM(D18:D21),2)</f>
        <v>-139074083.81999999</v>
      </c>
      <c r="E22" s="483"/>
      <c r="F22" s="639">
        <f>ROUND(SUM(F18:F21),2)</f>
        <v>-92790413.599999994</v>
      </c>
      <c r="G22" s="483"/>
      <c r="H22" s="639">
        <f>ROUND(SUM(H18:H21),2)</f>
        <v>-139845589.83000001</v>
      </c>
      <c r="I22" s="483"/>
      <c r="J22" s="639">
        <f>ROUND(SUM(J18:J21),2)</f>
        <v>-82804625.530000001</v>
      </c>
      <c r="K22" s="483"/>
      <c r="L22" s="639">
        <f>ROUND(SUM(L18:L21),2)</f>
        <v>0</v>
      </c>
      <c r="M22" s="483"/>
      <c r="N22" s="482"/>
      <c r="O22" s="639">
        <f>ROUND(SUM(O18:O21),2)</f>
        <v>-454514712.77999997</v>
      </c>
      <c r="P22" s="459"/>
      <c r="Q22" s="452"/>
      <c r="R22" s="459"/>
    </row>
    <row r="23" spans="2:18">
      <c r="B23" s="467"/>
      <c r="D23" s="638"/>
      <c r="E23" s="465"/>
      <c r="F23" s="638"/>
      <c r="G23" s="465"/>
      <c r="H23" s="638"/>
      <c r="I23" s="465"/>
      <c r="J23" s="638"/>
      <c r="K23" s="465"/>
      <c r="L23" s="638"/>
      <c r="M23" s="465"/>
      <c r="N23" s="480"/>
      <c r="O23" s="638"/>
    </row>
    <row r="24" spans="2:18" s="460" customFormat="1">
      <c r="B24" s="460" t="s">
        <v>1064</v>
      </c>
      <c r="C24" s="459"/>
      <c r="D24" s="468">
        <f>ROUND(+D16+D22,2)</f>
        <v>-139058028.22</v>
      </c>
      <c r="E24" s="468"/>
      <c r="F24" s="468">
        <f>ROUND(+F16+F22,2)</f>
        <v>-92781166.870000005</v>
      </c>
      <c r="G24" s="468"/>
      <c r="H24" s="468">
        <f>ROUND(+H16+H22,2)</f>
        <v>-139832115.28999999</v>
      </c>
      <c r="I24" s="468"/>
      <c r="J24" s="468">
        <f>ROUND(+J16+J22,2)</f>
        <v>-82800228.25</v>
      </c>
      <c r="K24" s="468"/>
      <c r="L24" s="468">
        <f>ROUND(+L16+L22,2)</f>
        <v>0</v>
      </c>
      <c r="M24" s="468"/>
      <c r="N24" s="480"/>
      <c r="O24" s="468">
        <f>ROUND(+O16+O22,2)</f>
        <v>-454471538.63</v>
      </c>
      <c r="P24" s="459"/>
      <c r="Q24" s="452"/>
      <c r="R24" s="459"/>
    </row>
    <row r="25" spans="2:18">
      <c r="D25" s="638"/>
      <c r="E25" s="465"/>
      <c r="F25" s="638"/>
      <c r="G25" s="465"/>
      <c r="H25" s="638"/>
      <c r="I25" s="465"/>
      <c r="J25" s="638"/>
      <c r="K25" s="465"/>
      <c r="L25" s="638"/>
      <c r="M25" s="465"/>
      <c r="N25" s="480"/>
      <c r="O25" s="638"/>
    </row>
    <row r="26" spans="2:18">
      <c r="B26" s="460" t="s">
        <v>145</v>
      </c>
      <c r="D26" s="465"/>
      <c r="E26" s="465"/>
      <c r="F26" s="465"/>
      <c r="G26" s="465"/>
      <c r="H26" s="465"/>
      <c r="I26" s="465"/>
      <c r="J26" s="465"/>
      <c r="K26" s="465"/>
      <c r="L26" s="465"/>
      <c r="M26" s="465"/>
      <c r="N26" s="480"/>
      <c r="O26" s="465"/>
    </row>
    <row r="27" spans="2:18">
      <c r="B27" s="460" t="s">
        <v>1043</v>
      </c>
      <c r="D27" s="465"/>
      <c r="E27" s="465"/>
      <c r="F27" s="465"/>
      <c r="G27" s="465"/>
      <c r="H27" s="465"/>
      <c r="I27" s="465"/>
      <c r="J27" s="465"/>
      <c r="K27" s="465"/>
      <c r="L27" s="465"/>
      <c r="M27" s="465"/>
      <c r="N27" s="481"/>
      <c r="O27" s="465"/>
    </row>
    <row r="28" spans="2:18">
      <c r="B28" s="456" t="s">
        <v>1065</v>
      </c>
      <c r="D28" s="465">
        <v>0</v>
      </c>
      <c r="E28" s="465"/>
      <c r="F28" s="465">
        <v>0</v>
      </c>
      <c r="G28" s="465"/>
      <c r="H28" s="465">
        <v>0</v>
      </c>
      <c r="I28" s="465"/>
      <c r="J28" s="465">
        <v>0</v>
      </c>
      <c r="K28" s="465"/>
      <c r="L28" s="465">
        <v>0</v>
      </c>
      <c r="M28" s="465"/>
      <c r="N28" s="482"/>
      <c r="O28" s="465">
        <f>ROUND(SUM(D28:M28),2)</f>
        <v>0</v>
      </c>
    </row>
    <row r="29" spans="2:18">
      <c r="B29" s="456" t="s">
        <v>1050</v>
      </c>
      <c r="D29" s="465">
        <v>0</v>
      </c>
      <c r="E29" s="465"/>
      <c r="F29" s="465">
        <v>0</v>
      </c>
      <c r="G29" s="465"/>
      <c r="H29" s="465">
        <v>0</v>
      </c>
      <c r="I29" s="465"/>
      <c r="J29" s="465">
        <v>0</v>
      </c>
      <c r="K29" s="465"/>
      <c r="L29" s="465">
        <v>0</v>
      </c>
      <c r="M29" s="465"/>
      <c r="N29" s="480"/>
      <c r="O29" s="465">
        <f>ROUND(SUM(D29:M29),2)</f>
        <v>0</v>
      </c>
    </row>
    <row r="30" spans="2:18">
      <c r="B30" s="460" t="s">
        <v>1046</v>
      </c>
      <c r="D30" s="465"/>
      <c r="E30" s="465"/>
      <c r="F30" s="465"/>
      <c r="G30" s="465"/>
      <c r="H30" s="465"/>
      <c r="I30" s="465"/>
      <c r="J30" s="465"/>
      <c r="K30" s="465"/>
      <c r="L30" s="465"/>
      <c r="M30" s="465"/>
      <c r="N30" s="485"/>
      <c r="O30" s="465"/>
    </row>
    <row r="31" spans="2:18">
      <c r="B31" s="456" t="s">
        <v>1066</v>
      </c>
      <c r="D31" s="465">
        <v>70241898.150000006</v>
      </c>
      <c r="E31" s="465"/>
      <c r="F31" s="465">
        <v>70240558.650000006</v>
      </c>
      <c r="G31" s="465"/>
      <c r="H31" s="465">
        <v>46827039.100000001</v>
      </c>
      <c r="I31" s="465"/>
      <c r="J31" s="465">
        <v>41557345.549999997</v>
      </c>
      <c r="K31" s="465"/>
      <c r="L31" s="465">
        <v>0</v>
      </c>
      <c r="M31" s="465"/>
      <c r="N31" s="480"/>
      <c r="O31" s="465">
        <f>ROUND(SUM(D31:M31),2)</f>
        <v>228866841.44999999</v>
      </c>
    </row>
    <row r="32" spans="2:18">
      <c r="B32" s="456" t="s">
        <v>1067</v>
      </c>
      <c r="D32" s="465">
        <v>-1409712.45</v>
      </c>
      <c r="E32" s="465"/>
      <c r="F32" s="465">
        <v>-1209848.8999999999</v>
      </c>
      <c r="G32" s="465"/>
      <c r="H32" s="465">
        <v>-289343.12</v>
      </c>
      <c r="I32" s="465"/>
      <c r="J32" s="465">
        <v>-310065.56</v>
      </c>
      <c r="K32" s="465"/>
      <c r="L32" s="465">
        <v>0</v>
      </c>
      <c r="M32" s="465"/>
      <c r="N32" s="480"/>
      <c r="O32" s="465">
        <f>ROUND(SUM(D32:M32),2)</f>
        <v>-3218970.03</v>
      </c>
    </row>
    <row r="33" spans="2:48">
      <c r="B33" s="456" t="s">
        <v>1068</v>
      </c>
      <c r="D33" s="465">
        <v>70241898.120000005</v>
      </c>
      <c r="E33" s="465"/>
      <c r="F33" s="465">
        <v>70240558.620000005</v>
      </c>
      <c r="G33" s="465"/>
      <c r="H33" s="465">
        <v>46827039.079999998</v>
      </c>
      <c r="I33" s="465"/>
      <c r="J33" s="465">
        <v>41557345.539999999</v>
      </c>
      <c r="K33" s="465"/>
      <c r="L33" s="465">
        <v>0</v>
      </c>
      <c r="M33" s="465"/>
      <c r="N33" s="480"/>
      <c r="O33" s="465">
        <f>ROUND(SUM(D33:M33),2)</f>
        <v>228866841.36000001</v>
      </c>
    </row>
    <row r="34" spans="2:48">
      <c r="B34" s="456" t="s">
        <v>1062</v>
      </c>
      <c r="D34" s="1284">
        <v>0</v>
      </c>
      <c r="E34" s="465"/>
      <c r="F34" s="1284">
        <v>0</v>
      </c>
      <c r="G34" s="465"/>
      <c r="H34" s="1284">
        <v>0</v>
      </c>
      <c r="I34" s="465"/>
      <c r="J34" s="1284">
        <v>0</v>
      </c>
      <c r="K34" s="465"/>
      <c r="L34" s="1284">
        <v>0</v>
      </c>
      <c r="M34" s="465"/>
      <c r="N34" s="480"/>
      <c r="O34" s="465">
        <f>ROUND(SUM(D34:F34),2)</f>
        <v>0</v>
      </c>
    </row>
    <row r="35" spans="2:48" s="460" customFormat="1">
      <c r="B35" s="460" t="s">
        <v>1048</v>
      </c>
      <c r="C35" s="459"/>
      <c r="D35" s="640">
        <f>ROUND(SUM(D28:D34),2)</f>
        <v>139074083.81999999</v>
      </c>
      <c r="E35" s="483"/>
      <c r="F35" s="640">
        <f>ROUND(SUM(F28:F34),2)</f>
        <v>139271268.37</v>
      </c>
      <c r="G35" s="483"/>
      <c r="H35" s="640">
        <f>ROUND(SUM(H28:H34),2)</f>
        <v>93364735.060000002</v>
      </c>
      <c r="I35" s="483"/>
      <c r="J35" s="640">
        <f>ROUND(SUM(J28:J34),2)</f>
        <v>82804625.530000001</v>
      </c>
      <c r="K35" s="483"/>
      <c r="L35" s="640">
        <f>ROUND(SUM(L28:L34),2)</f>
        <v>0</v>
      </c>
      <c r="M35" s="483"/>
      <c r="N35" s="480"/>
      <c r="O35" s="640">
        <f>ROUND(SUM(O28:O34),2)</f>
        <v>454514712.77999997</v>
      </c>
      <c r="P35" s="459"/>
      <c r="Q35" s="452"/>
      <c r="R35" s="459"/>
    </row>
    <row r="36" spans="2:48">
      <c r="D36" s="465"/>
      <c r="E36" s="465"/>
      <c r="F36" s="465"/>
      <c r="G36" s="465"/>
      <c r="H36" s="465"/>
      <c r="I36" s="465"/>
      <c r="J36" s="465"/>
      <c r="K36" s="465"/>
      <c r="L36" s="465"/>
      <c r="M36" s="465"/>
      <c r="N36" s="480"/>
      <c r="O36" s="465"/>
    </row>
    <row r="37" spans="2:48">
      <c r="B37" s="460" t="s">
        <v>1049</v>
      </c>
      <c r="D37" s="465"/>
      <c r="E37" s="465"/>
      <c r="F37" s="465"/>
      <c r="G37" s="465"/>
      <c r="H37" s="465"/>
      <c r="I37" s="465"/>
      <c r="J37" s="465"/>
      <c r="K37" s="465"/>
      <c r="L37" s="465"/>
      <c r="M37" s="465"/>
      <c r="N37" s="480"/>
      <c r="O37" s="465"/>
    </row>
    <row r="38" spans="2:48">
      <c r="B38" s="451" t="s">
        <v>1065</v>
      </c>
      <c r="D38" s="469">
        <v>0</v>
      </c>
      <c r="E38" s="469"/>
      <c r="F38" s="469">
        <v>0</v>
      </c>
      <c r="G38" s="469"/>
      <c r="H38" s="469">
        <v>0</v>
      </c>
      <c r="I38" s="469"/>
      <c r="J38" s="469">
        <v>0</v>
      </c>
      <c r="K38" s="469"/>
      <c r="L38" s="469">
        <v>0</v>
      </c>
      <c r="M38" s="469"/>
      <c r="N38" s="482"/>
      <c r="O38" s="465">
        <f>ROUND(SUM(D38:M38),2)</f>
        <v>0</v>
      </c>
    </row>
    <row r="39" spans="2:48">
      <c r="B39" s="451" t="s">
        <v>1050</v>
      </c>
      <c r="D39" s="465">
        <v>0</v>
      </c>
      <c r="E39" s="465"/>
      <c r="F39" s="465">
        <v>0</v>
      </c>
      <c r="G39" s="465"/>
      <c r="H39" s="465">
        <v>0</v>
      </c>
      <c r="I39" s="465"/>
      <c r="J39" s="465">
        <v>0</v>
      </c>
      <c r="K39" s="465"/>
      <c r="L39" s="465">
        <v>0</v>
      </c>
      <c r="M39" s="465"/>
      <c r="N39" s="480"/>
      <c r="O39" s="465">
        <f>ROUND(SUM(D39:M39),2)</f>
        <v>0</v>
      </c>
    </row>
    <row r="40" spans="2:48">
      <c r="B40" s="460" t="s">
        <v>1051</v>
      </c>
      <c r="D40" s="465"/>
      <c r="E40" s="465"/>
      <c r="F40" s="465"/>
      <c r="G40" s="465"/>
      <c r="H40" s="465"/>
      <c r="I40" s="465"/>
      <c r="J40" s="465"/>
      <c r="K40" s="465"/>
      <c r="L40" s="465"/>
      <c r="M40" s="465"/>
      <c r="N40" s="480"/>
      <c r="O40" s="465"/>
    </row>
    <row r="41" spans="2:48">
      <c r="B41" s="456" t="s">
        <v>1069</v>
      </c>
      <c r="D41" s="465">
        <v>-6040.86</v>
      </c>
      <c r="E41" s="465"/>
      <c r="F41" s="465">
        <v>-19260.98</v>
      </c>
      <c r="G41" s="465"/>
      <c r="H41" s="465">
        <v>-8888.4</v>
      </c>
      <c r="I41" s="465"/>
      <c r="J41" s="465">
        <v>-10627.49</v>
      </c>
      <c r="K41" s="465"/>
      <c r="L41" s="465">
        <v>-4397.28</v>
      </c>
      <c r="M41" s="465"/>
      <c r="N41" s="480"/>
      <c r="O41" s="465">
        <f>ROUND(SUM(D41:M41),2)</f>
        <v>-49215.01</v>
      </c>
    </row>
    <row r="42" spans="2:48">
      <c r="B42" s="961" t="s">
        <v>1070</v>
      </c>
      <c r="D42" s="1284">
        <v>0</v>
      </c>
      <c r="E42" s="465"/>
      <c r="F42" s="1284">
        <v>0</v>
      </c>
      <c r="G42" s="465"/>
      <c r="H42" s="1284">
        <v>0</v>
      </c>
      <c r="I42" s="465"/>
      <c r="J42" s="1284">
        <v>0</v>
      </c>
      <c r="K42" s="465"/>
      <c r="L42" s="1284">
        <v>0</v>
      </c>
      <c r="M42" s="465"/>
      <c r="N42" s="480"/>
      <c r="O42" s="465">
        <f>ROUND(SUM(D42:M42),2)</f>
        <v>0</v>
      </c>
    </row>
    <row r="43" spans="2:48" s="460" customFormat="1">
      <c r="B43" s="460" t="s">
        <v>1052</v>
      </c>
      <c r="C43" s="459"/>
      <c r="D43" s="640">
        <f>SUM(D38:D42)</f>
        <v>-6040.86</v>
      </c>
      <c r="E43" s="483"/>
      <c r="F43" s="640">
        <f>SUM(F38:F42)</f>
        <v>-19260.98</v>
      </c>
      <c r="G43" s="483"/>
      <c r="H43" s="640">
        <f>SUM(H38:H42)</f>
        <v>-8888.4</v>
      </c>
      <c r="I43" s="483"/>
      <c r="J43" s="640">
        <f>SUM(J38:J42)</f>
        <v>-10627.49</v>
      </c>
      <c r="K43" s="483"/>
      <c r="L43" s="640">
        <f>SUM(L38:L42)</f>
        <v>-4397.28</v>
      </c>
      <c r="M43" s="483"/>
      <c r="N43" s="480"/>
      <c r="O43" s="640">
        <f>SUM(O38:O42)</f>
        <v>-49215.01</v>
      </c>
      <c r="P43" s="459"/>
      <c r="Q43" s="452"/>
      <c r="R43" s="459"/>
    </row>
    <row r="44" spans="2:48">
      <c r="D44" s="465"/>
      <c r="E44" s="465"/>
      <c r="F44" s="465"/>
      <c r="G44" s="465"/>
      <c r="H44" s="465"/>
      <c r="I44" s="465"/>
      <c r="J44" s="465"/>
      <c r="K44" s="465"/>
      <c r="L44" s="465"/>
      <c r="M44" s="465"/>
      <c r="N44" s="480"/>
      <c r="O44" s="465"/>
    </row>
    <row r="45" spans="2:48">
      <c r="B45" s="460" t="s">
        <v>1071</v>
      </c>
      <c r="D45" s="465"/>
      <c r="E45" s="465"/>
      <c r="F45" s="465"/>
      <c r="G45" s="465"/>
      <c r="H45" s="465"/>
      <c r="I45" s="465"/>
      <c r="J45" s="465"/>
      <c r="K45" s="465"/>
      <c r="L45" s="465"/>
      <c r="M45" s="465"/>
      <c r="N45" s="480"/>
      <c r="O45" s="465"/>
    </row>
    <row r="46" spans="2:48">
      <c r="B46" s="460" t="s">
        <v>1072</v>
      </c>
      <c r="D46" s="1285">
        <f>ROUND(+D24+D35+D43,2)</f>
        <v>10014.74</v>
      </c>
      <c r="E46" s="468"/>
      <c r="F46" s="1285">
        <f>ROUND(+F24+F35+F43,2)</f>
        <v>46470840.520000003</v>
      </c>
      <c r="G46" s="468"/>
      <c r="H46" s="1285">
        <f>ROUND(+H24+H35+H43,2)</f>
        <v>-46476268.630000003</v>
      </c>
      <c r="I46" s="468"/>
      <c r="J46" s="1285">
        <f>ROUND(+J24+J35+J43,2)</f>
        <v>-6230.21</v>
      </c>
      <c r="K46" s="468"/>
      <c r="L46" s="1285">
        <f>ROUND(+L24+L35+L43,2)</f>
        <v>-4397.28</v>
      </c>
      <c r="M46" s="468"/>
      <c r="N46" s="480"/>
      <c r="O46" s="1116">
        <f>ROUND(+O24+O35+O43,2)</f>
        <v>-6040.86</v>
      </c>
    </row>
    <row r="47" spans="2:48">
      <c r="N47" s="482"/>
      <c r="O47" s="470"/>
    </row>
    <row r="48" spans="2:48" s="460" customFormat="1" ht="16" thickBot="1">
      <c r="B48" s="460" t="s">
        <v>1055</v>
      </c>
      <c r="C48" s="471"/>
      <c r="D48" s="1286">
        <f>ROUND(D12+D46,2)</f>
        <v>16055.6</v>
      </c>
      <c r="E48" s="1370"/>
      <c r="F48" s="1286">
        <f>ROUND(F12+F46,2)</f>
        <v>46486896.119999997</v>
      </c>
      <c r="G48" s="1370"/>
      <c r="H48" s="1286">
        <f>ROUND(H12+H46,2)</f>
        <v>10627.49</v>
      </c>
      <c r="I48" s="1370"/>
      <c r="J48" s="1286">
        <f>ROUND(J12+J46,2)</f>
        <v>4397.28</v>
      </c>
      <c r="K48" s="1370"/>
      <c r="L48" s="1286">
        <f>ROUND(L12+L46,2)</f>
        <v>0</v>
      </c>
      <c r="M48" s="1370"/>
      <c r="N48" s="480"/>
      <c r="O48" s="1117">
        <f>ROUND(O12+O46,2)</f>
        <v>0</v>
      </c>
      <c r="P48" s="459"/>
      <c r="Q48" s="452"/>
      <c r="R48" s="459"/>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row>
    <row r="49" spans="2:14" ht="16" thickTop="1">
      <c r="B49" s="451" t="s">
        <v>103</v>
      </c>
      <c r="F49" s="465"/>
      <c r="H49" s="465"/>
      <c r="I49" s="465"/>
      <c r="J49" s="465"/>
      <c r="K49" s="465"/>
      <c r="L49" s="465"/>
      <c r="M49" s="465"/>
      <c r="N49" s="465"/>
    </row>
    <row r="50" spans="2:14">
      <c r="B50" s="456" t="s">
        <v>1056</v>
      </c>
      <c r="F50" s="483"/>
      <c r="H50" s="483"/>
      <c r="I50" s="483"/>
      <c r="J50" s="483"/>
      <c r="K50" s="483"/>
      <c r="L50" s="483"/>
      <c r="M50" s="483"/>
      <c r="N50" s="483"/>
    </row>
    <row r="51" spans="2:14">
      <c r="B51" s="467"/>
    </row>
    <row r="52" spans="2:14">
      <c r="F52" s="462"/>
      <c r="H52" s="462"/>
      <c r="I52" s="462"/>
      <c r="J52" s="462"/>
      <c r="K52" s="462"/>
      <c r="L52" s="462"/>
      <c r="M52" s="462"/>
      <c r="N52" s="462"/>
    </row>
    <row r="59" spans="2:14">
      <c r="B59" s="473"/>
      <c r="C59" s="459"/>
      <c r="D59" s="459"/>
      <c r="E59" s="459"/>
      <c r="G59" s="459"/>
    </row>
    <row r="61" spans="2:14">
      <c r="C61" s="459"/>
    </row>
  </sheetData>
  <printOptions horizontalCentered="1"/>
  <pageMargins left="0.24" right="0.24" top="0.5" bottom="0.5" header="0.18" footer="0.25"/>
  <pageSetup scale="63" firstPageNumber="51"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workbookViewId="0"/>
  </sheetViews>
  <sheetFormatPr defaultColWidth="8.69140625" defaultRowHeight="12.5"/>
  <cols>
    <col min="1" max="1" width="54.69140625" style="125" customWidth="1"/>
    <col min="2" max="2" width="1.69140625" style="125" customWidth="1"/>
    <col min="3" max="3" width="11.69140625" style="125" customWidth="1"/>
    <col min="4" max="4" width="1.69140625" style="125" customWidth="1"/>
    <col min="5" max="5" width="11.69140625" style="125" customWidth="1"/>
    <col min="6" max="6" width="1.69140625" style="125" customWidth="1"/>
    <col min="7" max="7" width="11.69140625" style="125" customWidth="1"/>
    <col min="8" max="8" width="1.69140625" style="125" customWidth="1"/>
    <col min="9" max="9" width="11.69140625" style="125" customWidth="1"/>
    <col min="10" max="10" width="1.69140625" style="125" customWidth="1"/>
    <col min="11" max="11" width="11.69140625" style="125" customWidth="1"/>
    <col min="12" max="12" width="1.69140625" style="125" customWidth="1"/>
    <col min="13" max="13" width="14.69140625" style="125" customWidth="1"/>
    <col min="14" max="14" width="1.69140625" style="125" customWidth="1"/>
    <col min="15" max="15" width="14" style="125" customWidth="1"/>
    <col min="16" max="16" width="1.69140625" style="125" customWidth="1"/>
    <col min="17" max="17" width="14.69140625" style="125" customWidth="1"/>
    <col min="18" max="18" width="1.69140625" style="125" customWidth="1"/>
    <col min="19" max="19" width="13.53515625" style="125" bestFit="1" customWidth="1"/>
    <col min="20" max="20" width="1.69140625" style="125" customWidth="1"/>
    <col min="21" max="21" width="12.69140625" style="125" customWidth="1"/>
    <col min="22" max="22" width="1.69140625" style="125" customWidth="1"/>
    <col min="23" max="23" width="12.69140625" style="125" customWidth="1"/>
    <col min="24" max="24" width="1.69140625" style="125" customWidth="1"/>
    <col min="25" max="25" width="12.69140625" style="125" customWidth="1"/>
    <col min="26" max="26" width="1.69140625" style="125" customWidth="1"/>
    <col min="27" max="27" width="14.07421875" style="126" customWidth="1"/>
    <col min="28" max="28" width="3.69140625" style="125" customWidth="1"/>
    <col min="29" max="29" width="5.69140625" style="125" customWidth="1"/>
    <col min="30" max="30" width="10.07421875" style="125" customWidth="1"/>
    <col min="31" max="31" width="2.69140625" style="125" customWidth="1"/>
    <col min="32" max="16384" width="8.69140625" style="125"/>
  </cols>
  <sheetData>
    <row r="1" spans="1:29" ht="15.5">
      <c r="A1" s="275" t="s">
        <v>97</v>
      </c>
    </row>
    <row r="2" spans="1:29" ht="20">
      <c r="A2" s="122"/>
      <c r="B2" s="445"/>
      <c r="C2" s="445"/>
      <c r="D2" s="445"/>
      <c r="E2" s="445"/>
      <c r="F2" s="445"/>
      <c r="G2" s="445"/>
      <c r="H2" s="445"/>
      <c r="I2" s="445"/>
      <c r="J2" s="445"/>
      <c r="K2" s="445"/>
      <c r="L2" s="123"/>
      <c r="M2" s="123"/>
      <c r="N2" s="445"/>
      <c r="O2" s="445"/>
      <c r="P2" s="445"/>
      <c r="Q2" s="445"/>
      <c r="R2" s="445"/>
      <c r="S2" s="445"/>
      <c r="T2" s="445"/>
      <c r="U2" s="445"/>
      <c r="V2" s="445"/>
      <c r="W2" s="445"/>
      <c r="X2" s="445"/>
      <c r="Y2" s="445"/>
      <c r="Z2" s="445"/>
      <c r="AA2" s="446"/>
      <c r="AB2" s="445"/>
      <c r="AC2" s="124"/>
    </row>
    <row r="3" spans="1:29" ht="15.5">
      <c r="A3"/>
      <c r="B3" s="276"/>
      <c r="C3" s="276"/>
      <c r="D3" s="276"/>
      <c r="E3" s="276"/>
      <c r="F3" s="276"/>
      <c r="G3" s="276"/>
      <c r="H3" s="276"/>
      <c r="I3" s="276"/>
      <c r="J3" s="276"/>
      <c r="K3" s="276"/>
      <c r="L3"/>
      <c r="M3" s="276"/>
      <c r="N3" s="276"/>
      <c r="O3" s="276"/>
      <c r="P3" s="276"/>
      <c r="Q3" s="276"/>
      <c r="R3" s="276"/>
      <c r="S3" s="276"/>
      <c r="T3" s="276"/>
      <c r="U3" s="276"/>
      <c r="V3" s="276"/>
      <c r="W3" s="276"/>
      <c r="X3" s="276"/>
      <c r="Y3" s="276"/>
      <c r="Z3" s="276"/>
      <c r="AA3" s="125"/>
      <c r="AB3" s="445"/>
      <c r="AC3" s="124"/>
    </row>
    <row r="4" spans="1:29" ht="20">
      <c r="A4" s="280" t="s">
        <v>98</v>
      </c>
      <c r="B4" s="276"/>
      <c r="C4" s="276"/>
      <c r="D4" s="276"/>
      <c r="E4" s="276"/>
      <c r="F4" s="276"/>
      <c r="G4" s="276"/>
      <c r="H4" s="276"/>
      <c r="I4" s="276"/>
      <c r="J4" s="276"/>
      <c r="K4" s="276"/>
      <c r="L4"/>
      <c r="M4" s="276"/>
      <c r="N4" s="276"/>
      <c r="O4" s="276"/>
      <c r="P4" s="276"/>
      <c r="Q4" s="276"/>
      <c r="R4" s="276"/>
      <c r="S4" s="276"/>
      <c r="T4" s="276"/>
      <c r="U4" s="276"/>
      <c r="V4" s="276"/>
      <c r="W4" s="276"/>
      <c r="X4" s="276"/>
      <c r="Y4" s="276"/>
      <c r="Z4" s="276"/>
      <c r="AA4" s="447" t="s">
        <v>1073</v>
      </c>
      <c r="AB4" s="445"/>
      <c r="AC4" s="124"/>
    </row>
    <row r="5" spans="1:29" s="124" customFormat="1" ht="18">
      <c r="A5" s="280" t="s">
        <v>1074</v>
      </c>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445"/>
    </row>
    <row r="6" spans="1:29" s="124" customFormat="1" ht="18">
      <c r="A6" s="280" t="str">
        <f>'Cashflow Governmental'!A6</f>
        <v>FISCAL YEAR 2024-2025</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445"/>
    </row>
    <row r="7" spans="1:29" s="124" customFormat="1" ht="18">
      <c r="A7" s="280" t="s">
        <v>1075</v>
      </c>
      <c r="B7" s="1246"/>
      <c r="C7" s="1246"/>
      <c r="D7" s="1246"/>
      <c r="E7" s="1246"/>
      <c r="F7" s="1246"/>
      <c r="G7" s="1246"/>
      <c r="H7" s="1246"/>
      <c r="I7" s="1246"/>
      <c r="J7"/>
      <c r="K7"/>
      <c r="L7"/>
      <c r="M7"/>
      <c r="N7"/>
      <c r="O7"/>
      <c r="P7"/>
      <c r="Q7"/>
      <c r="R7" s="276"/>
      <c r="S7" s="276"/>
      <c r="T7" s="276"/>
      <c r="U7" s="276"/>
      <c r="V7" s="276"/>
      <c r="W7" s="276"/>
      <c r="X7" s="276"/>
      <c r="Y7" s="276"/>
      <c r="Z7" s="276"/>
      <c r="AA7"/>
      <c r="AB7" s="445"/>
    </row>
    <row r="8" spans="1:29" s="124" customFormat="1" ht="15.5">
      <c r="A8" s="277"/>
      <c r="B8" s="1246"/>
      <c r="C8" s="334"/>
      <c r="D8" s="334"/>
      <c r="E8" s="334"/>
      <c r="F8" s="334"/>
      <c r="G8" s="334"/>
      <c r="H8" s="334"/>
      <c r="I8" s="334"/>
      <c r="J8" s="291"/>
      <c r="K8" s="291"/>
      <c r="L8" s="291"/>
      <c r="M8" s="291"/>
      <c r="N8" s="291"/>
      <c r="O8" s="291"/>
      <c r="P8" s="291"/>
      <c r="Q8" s="291"/>
      <c r="R8" s="291"/>
      <c r="S8" s="291"/>
      <c r="T8" s="291"/>
      <c r="U8" s="291"/>
      <c r="V8" s="291"/>
      <c r="W8" s="291"/>
      <c r="X8" s="291"/>
      <c r="Y8" s="291"/>
      <c r="Z8" s="291"/>
      <c r="AA8" s="291"/>
      <c r="AB8" s="445"/>
    </row>
    <row r="9" spans="1:29" s="124" customFormat="1" ht="15.5">
      <c r="A9" s="276"/>
      <c r="B9" s="276"/>
      <c r="C9" s="291"/>
      <c r="D9" s="291"/>
      <c r="E9" s="291"/>
      <c r="F9" s="291"/>
      <c r="G9" s="291"/>
      <c r="H9" s="291"/>
      <c r="I9" s="291"/>
      <c r="J9" s="291"/>
      <c r="K9" s="291"/>
      <c r="L9" s="291"/>
      <c r="M9" s="291"/>
      <c r="N9" s="291"/>
      <c r="O9" s="291"/>
      <c r="P9" s="291"/>
      <c r="Q9" s="291"/>
      <c r="R9" s="291"/>
      <c r="S9" s="291"/>
      <c r="T9" s="291"/>
      <c r="U9" s="291"/>
      <c r="V9" s="291"/>
      <c r="W9" s="291"/>
      <c r="X9" s="291"/>
      <c r="Y9" s="291"/>
      <c r="Z9" s="291"/>
      <c r="AA9" s="291"/>
      <c r="AB9" s="445"/>
    </row>
    <row r="10" spans="1:29" s="124" customFormat="1" ht="18">
      <c r="A10" s="276"/>
      <c r="B10" s="290"/>
      <c r="C10" s="335" t="str">
        <f>'Cashflow Governmental'!C13</f>
        <v>2024</v>
      </c>
      <c r="D10" s="335" t="s">
        <v>103</v>
      </c>
      <c r="E10" s="335" t="str">
        <f>C10</f>
        <v>2024</v>
      </c>
      <c r="F10" s="335" t="s">
        <v>103</v>
      </c>
      <c r="G10" s="335" t="str">
        <f>C10</f>
        <v>2024</v>
      </c>
      <c r="H10" s="335" t="s">
        <v>103</v>
      </c>
      <c r="I10" s="335" t="str">
        <f>C10</f>
        <v>2024</v>
      </c>
      <c r="J10" s="335" t="s">
        <v>103</v>
      </c>
      <c r="K10" s="335" t="str">
        <f>E10</f>
        <v>2024</v>
      </c>
      <c r="L10" s="335" t="s">
        <v>103</v>
      </c>
      <c r="M10" s="335" t="str">
        <f>G10</f>
        <v>2024</v>
      </c>
      <c r="N10" s="335" t="s">
        <v>103</v>
      </c>
      <c r="O10" s="335" t="str">
        <f>I10</f>
        <v>2024</v>
      </c>
      <c r="P10" s="335" t="s">
        <v>103</v>
      </c>
      <c r="Q10" s="335" t="str">
        <f>K10</f>
        <v>2024</v>
      </c>
      <c r="R10" s="335" t="s">
        <v>103</v>
      </c>
      <c r="S10" s="335" t="str">
        <f>M10</f>
        <v>2024</v>
      </c>
      <c r="T10" s="335"/>
      <c r="U10" s="335">
        <f>'Cashflow Governmental'!U13</f>
        <v>2025</v>
      </c>
      <c r="V10" s="335"/>
      <c r="W10" s="335">
        <f>U10</f>
        <v>2025</v>
      </c>
      <c r="X10" s="335"/>
      <c r="Y10" s="335">
        <f>W10</f>
        <v>2025</v>
      </c>
      <c r="Z10" s="280"/>
      <c r="AA10" s="336" t="str">
        <f>'Medicaid Disp Share'!O10</f>
        <v>2024-2025</v>
      </c>
      <c r="AB10" s="448"/>
    </row>
    <row r="11" spans="1:29" s="124" customFormat="1" ht="18">
      <c r="A11" s="276"/>
      <c r="B11" s="290"/>
      <c r="C11" s="1118" t="s">
        <v>336</v>
      </c>
      <c r="D11" s="336"/>
      <c r="E11" s="1118" t="s">
        <v>337</v>
      </c>
      <c r="F11" s="336"/>
      <c r="G11" s="1118" t="s">
        <v>338</v>
      </c>
      <c r="H11" s="336"/>
      <c r="I11" s="1118" t="s">
        <v>339</v>
      </c>
      <c r="J11" s="336"/>
      <c r="K11" s="1118" t="s">
        <v>340</v>
      </c>
      <c r="L11" s="336"/>
      <c r="M11" s="1118" t="s">
        <v>453</v>
      </c>
      <c r="N11" s="336"/>
      <c r="O11" s="1118" t="s">
        <v>454</v>
      </c>
      <c r="P11" s="336"/>
      <c r="Q11" s="1118" t="s">
        <v>343</v>
      </c>
      <c r="R11" s="336"/>
      <c r="S11" s="1118" t="s">
        <v>344</v>
      </c>
      <c r="T11" s="336"/>
      <c r="U11" s="1118" t="s">
        <v>345</v>
      </c>
      <c r="V11" s="336"/>
      <c r="W11" s="1118" t="s">
        <v>346</v>
      </c>
      <c r="X11" s="336"/>
      <c r="Y11" s="1118" t="s">
        <v>455</v>
      </c>
      <c r="Z11" s="280"/>
      <c r="AA11" s="1118" t="s">
        <v>1018</v>
      </c>
      <c r="AB11" s="445"/>
    </row>
    <row r="12" spans="1:29" s="124" customFormat="1" ht="17.5">
      <c r="A12"/>
      <c r="B12" s="290"/>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633"/>
      <c r="AC12" s="634"/>
    </row>
    <row r="13" spans="1:29" s="124" customFormat="1" ht="17.5">
      <c r="A13" s="291" t="s">
        <v>1076</v>
      </c>
      <c r="B13" s="290"/>
      <c r="C13" s="290"/>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633"/>
      <c r="AC13" s="635"/>
    </row>
    <row r="14" spans="1:29" s="124" customFormat="1" ht="17.5">
      <c r="A14" s="276" t="s">
        <v>1077</v>
      </c>
      <c r="B14" s="290"/>
      <c r="C14" s="343">
        <v>0</v>
      </c>
      <c r="D14" s="343"/>
      <c r="E14" s="343">
        <v>0</v>
      </c>
      <c r="F14" s="343"/>
      <c r="G14" s="699">
        <v>0</v>
      </c>
      <c r="H14" s="343"/>
      <c r="I14" s="699">
        <v>0</v>
      </c>
      <c r="J14" s="344"/>
      <c r="K14" s="699">
        <v>0</v>
      </c>
      <c r="L14" s="343"/>
      <c r="M14" s="699">
        <v>0</v>
      </c>
      <c r="N14" s="344"/>
      <c r="O14" s="699">
        <v>0</v>
      </c>
      <c r="P14" s="344"/>
      <c r="Q14" s="699">
        <v>0</v>
      </c>
      <c r="R14" s="344"/>
      <c r="S14" s="699">
        <v>0</v>
      </c>
      <c r="T14" s="344"/>
      <c r="U14" s="699">
        <v>0</v>
      </c>
      <c r="V14" s="344"/>
      <c r="W14" s="699">
        <v>0</v>
      </c>
      <c r="X14" s="344"/>
      <c r="Y14" s="699"/>
      <c r="Z14" s="290"/>
      <c r="AA14" s="839">
        <f>ROUND(SUM(C14:Z14),0)</f>
        <v>0</v>
      </c>
      <c r="AB14" s="633"/>
      <c r="AC14" s="635"/>
    </row>
    <row r="15" spans="1:29" s="124" customFormat="1" ht="17.5">
      <c r="A15" s="276" t="s">
        <v>1078</v>
      </c>
      <c r="B15" s="290"/>
      <c r="C15" s="345">
        <v>0</v>
      </c>
      <c r="D15" s="346"/>
      <c r="E15" s="346">
        <v>0</v>
      </c>
      <c r="F15" s="346"/>
      <c r="G15" s="349">
        <v>0</v>
      </c>
      <c r="H15" s="346"/>
      <c r="I15" s="349">
        <v>0</v>
      </c>
      <c r="J15" s="347"/>
      <c r="K15" s="349">
        <v>0</v>
      </c>
      <c r="L15" s="346"/>
      <c r="M15" s="349">
        <v>0</v>
      </c>
      <c r="N15" s="347"/>
      <c r="O15" s="349">
        <v>0</v>
      </c>
      <c r="P15" s="347"/>
      <c r="Q15" s="349">
        <v>0</v>
      </c>
      <c r="R15" s="347"/>
      <c r="S15" s="349">
        <v>0</v>
      </c>
      <c r="T15" s="347"/>
      <c r="U15" s="349">
        <v>0</v>
      </c>
      <c r="V15" s="347"/>
      <c r="W15" s="349">
        <v>0</v>
      </c>
      <c r="X15" s="347"/>
      <c r="Y15" s="349"/>
      <c r="Z15" s="290"/>
      <c r="AA15" s="552">
        <f t="shared" ref="AA15:AA19" si="0">ROUND(SUM(C15:Z15),0)</f>
        <v>0</v>
      </c>
      <c r="AB15" s="633"/>
      <c r="AC15" s="635"/>
    </row>
    <row r="16" spans="1:29" s="124" customFormat="1" ht="17.5">
      <c r="A16" s="276" t="s">
        <v>1079</v>
      </c>
      <c r="B16" s="290"/>
      <c r="C16" s="345">
        <v>0</v>
      </c>
      <c r="D16" s="346"/>
      <c r="E16" s="346">
        <v>0</v>
      </c>
      <c r="F16" s="346"/>
      <c r="G16" s="349">
        <v>0</v>
      </c>
      <c r="H16" s="346"/>
      <c r="I16" s="349">
        <v>1</v>
      </c>
      <c r="J16" s="347"/>
      <c r="K16" s="349">
        <v>0</v>
      </c>
      <c r="L16" s="346"/>
      <c r="M16" s="349">
        <v>0</v>
      </c>
      <c r="N16" s="347"/>
      <c r="O16" s="349">
        <v>0</v>
      </c>
      <c r="P16" s="347"/>
      <c r="Q16" s="349">
        <v>0</v>
      </c>
      <c r="R16" s="347"/>
      <c r="S16" s="349">
        <v>0</v>
      </c>
      <c r="T16" s="347"/>
      <c r="U16" s="349">
        <v>0</v>
      </c>
      <c r="V16" s="347"/>
      <c r="W16" s="349">
        <v>0</v>
      </c>
      <c r="X16" s="347"/>
      <c r="Y16" s="349"/>
      <c r="Z16" s="290"/>
      <c r="AA16" s="552">
        <f t="shared" si="0"/>
        <v>1</v>
      </c>
      <c r="AB16" s="449"/>
      <c r="AC16" s="635"/>
    </row>
    <row r="17" spans="1:29" s="124" customFormat="1" ht="17.5">
      <c r="A17" s="276" t="s">
        <v>1080</v>
      </c>
      <c r="B17" s="290"/>
      <c r="C17" s="349">
        <v>0</v>
      </c>
      <c r="D17" s="346"/>
      <c r="E17" s="348">
        <v>0</v>
      </c>
      <c r="F17" s="346"/>
      <c r="G17" s="348">
        <v>0</v>
      </c>
      <c r="H17" s="346"/>
      <c r="I17" s="348">
        <v>0</v>
      </c>
      <c r="J17" s="347"/>
      <c r="K17" s="348">
        <v>0</v>
      </c>
      <c r="L17" s="346"/>
      <c r="M17" s="348">
        <v>0</v>
      </c>
      <c r="N17" s="347"/>
      <c r="O17" s="348">
        <v>0</v>
      </c>
      <c r="P17" s="347"/>
      <c r="Q17" s="348">
        <v>0</v>
      </c>
      <c r="R17" s="347"/>
      <c r="S17" s="348">
        <v>0</v>
      </c>
      <c r="T17" s="347"/>
      <c r="U17" s="348">
        <v>0</v>
      </c>
      <c r="V17" s="347"/>
      <c r="W17" s="348">
        <v>0</v>
      </c>
      <c r="X17" s="347"/>
      <c r="Y17" s="348"/>
      <c r="Z17" s="290"/>
      <c r="AA17" s="552">
        <f t="shared" si="0"/>
        <v>0</v>
      </c>
      <c r="AB17" s="449"/>
      <c r="AC17" s="635"/>
    </row>
    <row r="18" spans="1:29" s="124" customFormat="1" ht="17.5">
      <c r="A18" s="276" t="s">
        <v>1081</v>
      </c>
      <c r="B18" s="290"/>
      <c r="C18" s="345">
        <v>0</v>
      </c>
      <c r="D18" s="346"/>
      <c r="E18" s="346">
        <v>0</v>
      </c>
      <c r="F18" s="346"/>
      <c r="G18" s="349">
        <v>0</v>
      </c>
      <c r="H18" s="346"/>
      <c r="I18" s="349">
        <v>0</v>
      </c>
      <c r="J18" s="347"/>
      <c r="K18" s="349">
        <v>0</v>
      </c>
      <c r="L18" s="346"/>
      <c r="M18" s="349">
        <v>0</v>
      </c>
      <c r="N18" s="347"/>
      <c r="O18" s="349">
        <v>0</v>
      </c>
      <c r="P18" s="347"/>
      <c r="Q18" s="349">
        <v>0</v>
      </c>
      <c r="R18" s="347"/>
      <c r="S18" s="349">
        <v>0</v>
      </c>
      <c r="T18" s="347"/>
      <c r="U18" s="349">
        <v>0</v>
      </c>
      <c r="V18" s="347"/>
      <c r="W18" s="349">
        <v>0</v>
      </c>
      <c r="X18" s="347"/>
      <c r="Y18" s="349"/>
      <c r="Z18" s="290"/>
      <c r="AA18" s="552">
        <f t="shared" si="0"/>
        <v>0</v>
      </c>
      <c r="AB18" s="449"/>
      <c r="AC18" s="635"/>
    </row>
    <row r="19" spans="1:29" s="124" customFormat="1" ht="17.5">
      <c r="A19" s="276" t="s">
        <v>1082</v>
      </c>
      <c r="B19" s="290"/>
      <c r="C19" s="346">
        <v>0</v>
      </c>
      <c r="D19" s="346"/>
      <c r="E19" s="346">
        <v>0</v>
      </c>
      <c r="F19" s="346"/>
      <c r="G19" s="345">
        <v>0</v>
      </c>
      <c r="H19" s="346"/>
      <c r="I19" s="345">
        <v>0</v>
      </c>
      <c r="J19" s="347"/>
      <c r="K19" s="345">
        <v>0</v>
      </c>
      <c r="L19" s="346"/>
      <c r="M19" s="349">
        <v>0</v>
      </c>
      <c r="N19" s="347"/>
      <c r="O19" s="349">
        <v>0</v>
      </c>
      <c r="P19" s="347"/>
      <c r="Q19" s="349">
        <v>0</v>
      </c>
      <c r="R19" s="347"/>
      <c r="S19" s="349">
        <v>0</v>
      </c>
      <c r="T19" s="347"/>
      <c r="U19" s="349">
        <v>0</v>
      </c>
      <c r="V19" s="347"/>
      <c r="W19" s="349">
        <v>0</v>
      </c>
      <c r="X19" s="347"/>
      <c r="Y19" s="349"/>
      <c r="Z19" s="290"/>
      <c r="AA19" s="552">
        <f t="shared" si="0"/>
        <v>0</v>
      </c>
      <c r="AB19" s="449"/>
      <c r="AC19" s="635"/>
    </row>
    <row r="20" spans="1:29" s="124" customFormat="1" ht="17.5">
      <c r="A20" s="291" t="s">
        <v>1083</v>
      </c>
      <c r="B20" s="290"/>
      <c r="C20" s="1119">
        <f>ROUND(SUM(C14:C19),0)</f>
        <v>0</v>
      </c>
      <c r="D20" s="276"/>
      <c r="E20" s="1119">
        <f>ROUND(SUM(E14:E19),0)</f>
        <v>0</v>
      </c>
      <c r="F20" s="276"/>
      <c r="G20" s="1119">
        <f>ROUND(SUM(G14:G19),0)</f>
        <v>0</v>
      </c>
      <c r="H20" s="276"/>
      <c r="I20" s="1119">
        <f>ROUND(SUM(I14:I19),0)</f>
        <v>1</v>
      </c>
      <c r="J20" s="276"/>
      <c r="K20" s="1119">
        <f>ROUND(SUM(K14:K19),0)</f>
        <v>0</v>
      </c>
      <c r="L20" s="276"/>
      <c r="M20" s="1119">
        <f>ROUND(SUM(M14:M19),0)</f>
        <v>0</v>
      </c>
      <c r="N20" s="276"/>
      <c r="O20" s="1119">
        <f>ROUND(SUM(O14:O19),0)</f>
        <v>0</v>
      </c>
      <c r="P20" s="276"/>
      <c r="Q20" s="1119">
        <f>ROUND(SUM(Q14:Q19),0)</f>
        <v>0</v>
      </c>
      <c r="R20" s="276"/>
      <c r="S20" s="1119">
        <f>ROUND(SUM(S14:S19),0)</f>
        <v>0</v>
      </c>
      <c r="T20" s="276"/>
      <c r="U20" s="1119">
        <f>ROUND(SUM(U14:U19),0)</f>
        <v>0</v>
      </c>
      <c r="V20" s="276"/>
      <c r="W20" s="1119">
        <f>ROUND(SUM(W14:W19),0)</f>
        <v>0</v>
      </c>
      <c r="X20" s="276"/>
      <c r="Y20" s="1119">
        <f>ROUND(SUM(Y14:Y19),0)</f>
        <v>0</v>
      </c>
      <c r="Z20" s="276"/>
      <c r="AA20" s="1119">
        <f>ROUND(SUM(AA14:AA19),0)</f>
        <v>1</v>
      </c>
      <c r="AB20" s="449"/>
      <c r="AC20" s="635"/>
    </row>
    <row r="21" spans="1:29" s="124" customFormat="1" ht="17.5">
      <c r="A21"/>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76"/>
      <c r="AB21" s="449"/>
      <c r="AC21" s="635"/>
    </row>
    <row r="22" spans="1:29" s="124" customFormat="1" ht="17.5">
      <c r="A22" s="276"/>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76"/>
      <c r="AB22" s="449"/>
      <c r="AC22" s="635"/>
    </row>
    <row r="23" spans="1:29" ht="17.5">
      <c r="A23" s="276"/>
      <c r="B23" s="290"/>
      <c r="C23" s="290"/>
      <c r="D23" s="290"/>
      <c r="E23" s="290"/>
      <c r="F23" s="290"/>
      <c r="G23" s="290"/>
      <c r="H23" s="290"/>
      <c r="I23" s="290"/>
      <c r="J23" s="290"/>
      <c r="K23" s="290"/>
      <c r="L23" s="290"/>
      <c r="M23" s="290"/>
      <c r="N23" s="290"/>
      <c r="O23" s="290"/>
      <c r="P23" s="290"/>
      <c r="Q23" s="290"/>
      <c r="R23" s="290"/>
      <c r="S23" s="700"/>
      <c r="T23" s="290"/>
      <c r="U23" s="290"/>
      <c r="V23" s="290"/>
      <c r="W23" s="290"/>
      <c r="X23" s="290"/>
      <c r="Y23" s="290"/>
      <c r="Z23" s="290"/>
      <c r="AA23" s="276"/>
    </row>
    <row r="24" spans="1:29" s="127" customFormat="1" ht="18" thickBot="1">
      <c r="A24" s="291" t="s">
        <v>1084</v>
      </c>
      <c r="B24" s="290"/>
      <c r="C24" s="1120">
        <f>ROUND(C20,0)</f>
        <v>0</v>
      </c>
      <c r="D24" s="276"/>
      <c r="E24" s="1120">
        <f>ROUND(E20,0)</f>
        <v>0</v>
      </c>
      <c r="F24" s="276"/>
      <c r="G24" s="1120">
        <f>ROUND(G20,0)</f>
        <v>0</v>
      </c>
      <c r="H24" s="276"/>
      <c r="I24" s="1120">
        <f>ROUND(I20,0)</f>
        <v>1</v>
      </c>
      <c r="J24" s="276"/>
      <c r="K24" s="1120">
        <f>ROUND(K20,0)</f>
        <v>0</v>
      </c>
      <c r="L24" s="276"/>
      <c r="M24" s="1120">
        <f>ROUND(M20,0)</f>
        <v>0</v>
      </c>
      <c r="N24" s="276"/>
      <c r="O24" s="1120">
        <f>ROUND(O20,0)</f>
        <v>0</v>
      </c>
      <c r="P24" s="276"/>
      <c r="Q24" s="1120">
        <f>ROUND(Q20,0)</f>
        <v>0</v>
      </c>
      <c r="R24" s="276"/>
      <c r="S24" s="1120">
        <f>ROUND(S20,0)</f>
        <v>0</v>
      </c>
      <c r="T24" s="276"/>
      <c r="U24" s="1120">
        <f>ROUND(U20,0)</f>
        <v>0</v>
      </c>
      <c r="V24" s="276"/>
      <c r="W24" s="1120">
        <f>ROUND(W20,0)</f>
        <v>0</v>
      </c>
      <c r="X24" s="276"/>
      <c r="Y24" s="1120">
        <f>ROUND(Y20,0)</f>
        <v>0</v>
      </c>
      <c r="Z24" s="276"/>
      <c r="AA24" s="1120">
        <f>ROUND(AA20,0)</f>
        <v>1</v>
      </c>
    </row>
    <row r="25" spans="1:29" ht="16" thickTop="1">
      <c r="A25" s="450"/>
      <c r="C25" s="126"/>
      <c r="D25" s="126"/>
      <c r="E25" s="126"/>
      <c r="F25" s="126"/>
      <c r="G25" s="126"/>
      <c r="H25" s="126"/>
      <c r="I25" s="126"/>
      <c r="J25" s="126"/>
      <c r="K25" s="126"/>
      <c r="L25" s="126"/>
      <c r="M25" s="126"/>
      <c r="N25" s="126"/>
      <c r="O25" s="126"/>
      <c r="P25" s="126"/>
      <c r="Q25" s="126"/>
      <c r="R25" s="126"/>
      <c r="S25" s="126"/>
      <c r="T25" s="126"/>
      <c r="U25" s="126"/>
      <c r="V25" s="126"/>
      <c r="W25" s="126"/>
      <c r="X25" s="126"/>
      <c r="Y25" s="128"/>
    </row>
    <row r="26" spans="1:29" ht="13" thickBot="1"/>
    <row r="27" spans="1:29" ht="20.149999999999999" customHeight="1">
      <c r="A27" s="2135" t="s">
        <v>1535</v>
      </c>
      <c r="B27" s="2136"/>
      <c r="C27" s="2136"/>
      <c r="D27" s="2136"/>
      <c r="E27" s="2136"/>
      <c r="F27" s="2136"/>
      <c r="G27" s="2136"/>
      <c r="H27" s="2136"/>
      <c r="I27" s="2136"/>
      <c r="J27" s="2136"/>
      <c r="K27" s="2136"/>
      <c r="L27" s="2136"/>
      <c r="M27" s="2136"/>
      <c r="N27" s="2136"/>
      <c r="O27" s="2136"/>
      <c r="P27" s="2136"/>
      <c r="Q27" s="2136"/>
      <c r="R27" s="2136"/>
      <c r="S27" s="2136"/>
      <c r="T27" s="2136"/>
      <c r="U27" s="2136"/>
      <c r="V27" s="2136"/>
      <c r="W27" s="2136"/>
      <c r="X27" s="2136"/>
      <c r="Y27" s="2136"/>
      <c r="Z27" s="2136"/>
      <c r="AA27" s="2137"/>
    </row>
    <row r="28" spans="1:29" ht="20.149999999999999" customHeight="1">
      <c r="A28" s="2138"/>
      <c r="B28" s="2139"/>
      <c r="C28" s="2139"/>
      <c r="D28" s="2139"/>
      <c r="E28" s="2139"/>
      <c r="F28" s="2139"/>
      <c r="G28" s="2139"/>
      <c r="H28" s="2139"/>
      <c r="I28" s="2139"/>
      <c r="J28" s="2139"/>
      <c r="K28" s="2139"/>
      <c r="L28" s="2139"/>
      <c r="M28" s="2139"/>
      <c r="N28" s="2139"/>
      <c r="O28" s="2139"/>
      <c r="P28" s="2139"/>
      <c r="Q28" s="2139"/>
      <c r="R28" s="2139"/>
      <c r="S28" s="2139"/>
      <c r="T28" s="2139"/>
      <c r="U28" s="2139"/>
      <c r="V28" s="2139"/>
      <c r="W28" s="2139"/>
      <c r="X28" s="2139"/>
      <c r="Y28" s="2139"/>
      <c r="Z28" s="2139"/>
      <c r="AA28" s="2140"/>
    </row>
    <row r="29" spans="1:29" ht="22.5" customHeight="1" thickBot="1">
      <c r="A29" s="2141"/>
      <c r="B29" s="2142"/>
      <c r="C29" s="2142"/>
      <c r="D29" s="2142"/>
      <c r="E29" s="2142"/>
      <c r="F29" s="2142"/>
      <c r="G29" s="2142"/>
      <c r="H29" s="2142"/>
      <c r="I29" s="2142"/>
      <c r="J29" s="2142"/>
      <c r="K29" s="2142"/>
      <c r="L29" s="2142"/>
      <c r="M29" s="2142"/>
      <c r="N29" s="2142"/>
      <c r="O29" s="2142"/>
      <c r="P29" s="2142"/>
      <c r="Q29" s="2142"/>
      <c r="R29" s="2142"/>
      <c r="S29" s="2142"/>
      <c r="T29" s="2142"/>
      <c r="U29" s="2142"/>
      <c r="V29" s="2142"/>
      <c r="W29" s="2142"/>
      <c r="X29" s="2142"/>
      <c r="Y29" s="2142"/>
      <c r="Z29" s="2142"/>
      <c r="AA29" s="2143"/>
    </row>
    <row r="31" spans="1:29" ht="14.9" customHeight="1"/>
    <row r="34" ht="14.15" customHeight="1"/>
  </sheetData>
  <mergeCells count="1">
    <mergeCell ref="A27:AA29"/>
  </mergeCells>
  <printOptions horizontalCentered="1"/>
  <pageMargins left="0.25" right="0.25" top="0.5" bottom="0.25" header="0" footer="0.25"/>
  <pageSetup scale="45"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5"/>
  <sheetViews>
    <sheetView showGridLines="0" zoomScale="90" zoomScaleNormal="90" workbookViewId="0"/>
  </sheetViews>
  <sheetFormatPr defaultRowHeight="14.5"/>
  <cols>
    <col min="1" max="1" width="2.07421875" style="779" customWidth="1"/>
    <col min="2" max="2" width="10.07421875" style="779" customWidth="1"/>
    <col min="3" max="3" width="2.07421875" style="779" customWidth="1"/>
    <col min="4" max="4" width="51.69140625" style="779" customWidth="1"/>
    <col min="5" max="5" width="4.07421875" style="779" customWidth="1"/>
    <col min="6" max="6" width="2.07421875" style="837" customWidth="1"/>
    <col min="7" max="7" width="21.69140625" style="1210" bestFit="1" customWidth="1"/>
    <col min="8" max="8" width="2.07421875" style="779" customWidth="1"/>
    <col min="9" max="9" width="21.53515625" style="779" bestFit="1" customWidth="1"/>
    <col min="10" max="10" width="2.07421875" style="779" customWidth="1"/>
    <col min="11" max="11" width="21.69140625" style="779" bestFit="1" customWidth="1"/>
    <col min="12" max="12" width="2.07421875" style="779" customWidth="1"/>
    <col min="13" max="13" width="20.69140625" style="779" customWidth="1"/>
    <col min="14" max="14" width="2.07421875" style="779" customWidth="1"/>
    <col min="15" max="15" width="22.07421875" style="779" bestFit="1" customWidth="1"/>
    <col min="16" max="16" width="6.07421875" style="779" bestFit="1" customWidth="1"/>
    <col min="17" max="17" width="13.07421875" style="779" bestFit="1" customWidth="1"/>
    <col min="18" max="255" width="8.69140625" style="779"/>
    <col min="256" max="257" width="8.69140625" style="779" customWidth="1"/>
    <col min="258" max="258" width="10.07421875" style="779" customWidth="1"/>
    <col min="259" max="259" width="2.07421875" style="779" customWidth="1"/>
    <col min="260" max="260" width="50.4609375" style="779" customWidth="1"/>
    <col min="261" max="261" width="8.69140625" style="779"/>
    <col min="262" max="262" width="2.07421875" style="779" customWidth="1"/>
    <col min="263" max="263" width="23.69140625" style="779" customWidth="1"/>
    <col min="264" max="264" width="2.07421875" style="779" customWidth="1"/>
    <col min="265" max="265" width="23.69140625" style="779" customWidth="1"/>
    <col min="266" max="266" width="2.07421875" style="779" customWidth="1"/>
    <col min="267" max="267" width="23.69140625" style="779" customWidth="1"/>
    <col min="268" max="268" width="2.07421875" style="779" customWidth="1"/>
    <col min="269" max="269" width="23.69140625" style="779" customWidth="1"/>
    <col min="270" max="270" width="2.07421875" style="779" customWidth="1"/>
    <col min="271" max="271" width="23.69140625" style="779" customWidth="1"/>
    <col min="272" max="272" width="2.69140625" style="779" bestFit="1" customWidth="1"/>
    <col min="273" max="511" width="8.69140625" style="779"/>
    <col min="512" max="513" width="8.69140625" style="779" customWidth="1"/>
    <col min="514" max="514" width="10.07421875" style="779" customWidth="1"/>
    <col min="515" max="515" width="2.07421875" style="779" customWidth="1"/>
    <col min="516" max="516" width="50.4609375" style="779" customWidth="1"/>
    <col min="517" max="517" width="8.69140625" style="779"/>
    <col min="518" max="518" width="2.07421875" style="779" customWidth="1"/>
    <col min="519" max="519" width="23.69140625" style="779" customWidth="1"/>
    <col min="520" max="520" width="2.07421875" style="779" customWidth="1"/>
    <col min="521" max="521" width="23.69140625" style="779" customWidth="1"/>
    <col min="522" max="522" width="2.07421875" style="779" customWidth="1"/>
    <col min="523" max="523" width="23.69140625" style="779" customWidth="1"/>
    <col min="524" max="524" width="2.07421875" style="779" customWidth="1"/>
    <col min="525" max="525" width="23.69140625" style="779" customWidth="1"/>
    <col min="526" max="526" width="2.07421875" style="779" customWidth="1"/>
    <col min="527" max="527" width="23.69140625" style="779" customWidth="1"/>
    <col min="528" max="528" width="2.69140625" style="779" bestFit="1" customWidth="1"/>
    <col min="529" max="767" width="8.69140625" style="779"/>
    <col min="768" max="769" width="8.69140625" style="779" customWidth="1"/>
    <col min="770" max="770" width="10.07421875" style="779" customWidth="1"/>
    <col min="771" max="771" width="2.07421875" style="779" customWidth="1"/>
    <col min="772" max="772" width="50.4609375" style="779" customWidth="1"/>
    <col min="773" max="773" width="8.69140625" style="779"/>
    <col min="774" max="774" width="2.07421875" style="779" customWidth="1"/>
    <col min="775" max="775" width="23.69140625" style="779" customWidth="1"/>
    <col min="776" max="776" width="2.07421875" style="779" customWidth="1"/>
    <col min="777" max="777" width="23.69140625" style="779" customWidth="1"/>
    <col min="778" max="778" width="2.07421875" style="779" customWidth="1"/>
    <col min="779" max="779" width="23.69140625" style="779" customWidth="1"/>
    <col min="780" max="780" width="2.07421875" style="779" customWidth="1"/>
    <col min="781" max="781" width="23.69140625" style="779" customWidth="1"/>
    <col min="782" max="782" width="2.07421875" style="779" customWidth="1"/>
    <col min="783" max="783" width="23.69140625" style="779" customWidth="1"/>
    <col min="784" max="784" width="2.69140625" style="779" bestFit="1" customWidth="1"/>
    <col min="785" max="1023" width="8.69140625" style="779"/>
    <col min="1024" max="1025" width="8.69140625" style="779" customWidth="1"/>
    <col min="1026" max="1026" width="10.07421875" style="779" customWidth="1"/>
    <col min="1027" max="1027" width="2.07421875" style="779" customWidth="1"/>
    <col min="1028" max="1028" width="50.4609375" style="779" customWidth="1"/>
    <col min="1029" max="1029" width="8.69140625" style="779"/>
    <col min="1030" max="1030" width="2.07421875" style="779" customWidth="1"/>
    <col min="1031" max="1031" width="23.69140625" style="779" customWidth="1"/>
    <col min="1032" max="1032" width="2.07421875" style="779" customWidth="1"/>
    <col min="1033" max="1033" width="23.69140625" style="779" customWidth="1"/>
    <col min="1034" max="1034" width="2.07421875" style="779" customWidth="1"/>
    <col min="1035" max="1035" width="23.69140625" style="779" customWidth="1"/>
    <col min="1036" max="1036" width="2.07421875" style="779" customWidth="1"/>
    <col min="1037" max="1037" width="23.69140625" style="779" customWidth="1"/>
    <col min="1038" max="1038" width="2.07421875" style="779" customWidth="1"/>
    <col min="1039" max="1039" width="23.69140625" style="779" customWidth="1"/>
    <col min="1040" max="1040" width="2.69140625" style="779" bestFit="1" customWidth="1"/>
    <col min="1041" max="1279" width="8.69140625" style="779"/>
    <col min="1280" max="1281" width="8.69140625" style="779" customWidth="1"/>
    <col min="1282" max="1282" width="10.07421875" style="779" customWidth="1"/>
    <col min="1283" max="1283" width="2.07421875" style="779" customWidth="1"/>
    <col min="1284" max="1284" width="50.4609375" style="779" customWidth="1"/>
    <col min="1285" max="1285" width="8.69140625" style="779"/>
    <col min="1286" max="1286" width="2.07421875" style="779" customWidth="1"/>
    <col min="1287" max="1287" width="23.69140625" style="779" customWidth="1"/>
    <col min="1288" max="1288" width="2.07421875" style="779" customWidth="1"/>
    <col min="1289" max="1289" width="23.69140625" style="779" customWidth="1"/>
    <col min="1290" max="1290" width="2.07421875" style="779" customWidth="1"/>
    <col min="1291" max="1291" width="23.69140625" style="779" customWidth="1"/>
    <col min="1292" max="1292" width="2.07421875" style="779" customWidth="1"/>
    <col min="1293" max="1293" width="23.69140625" style="779" customWidth="1"/>
    <col min="1294" max="1294" width="2.07421875" style="779" customWidth="1"/>
    <col min="1295" max="1295" width="23.69140625" style="779" customWidth="1"/>
    <col min="1296" max="1296" width="2.69140625" style="779" bestFit="1" customWidth="1"/>
    <col min="1297" max="1535" width="8.69140625" style="779"/>
    <col min="1536" max="1537" width="8.69140625" style="779" customWidth="1"/>
    <col min="1538" max="1538" width="10.07421875" style="779" customWidth="1"/>
    <col min="1539" max="1539" width="2.07421875" style="779" customWidth="1"/>
    <col min="1540" max="1540" width="50.4609375" style="779" customWidth="1"/>
    <col min="1541" max="1541" width="8.69140625" style="779"/>
    <col min="1542" max="1542" width="2.07421875" style="779" customWidth="1"/>
    <col min="1543" max="1543" width="23.69140625" style="779" customWidth="1"/>
    <col min="1544" max="1544" width="2.07421875" style="779" customWidth="1"/>
    <col min="1545" max="1545" width="23.69140625" style="779" customWidth="1"/>
    <col min="1546" max="1546" width="2.07421875" style="779" customWidth="1"/>
    <col min="1547" max="1547" width="23.69140625" style="779" customWidth="1"/>
    <col min="1548" max="1548" width="2.07421875" style="779" customWidth="1"/>
    <col min="1549" max="1549" width="23.69140625" style="779" customWidth="1"/>
    <col min="1550" max="1550" width="2.07421875" style="779" customWidth="1"/>
    <col min="1551" max="1551" width="23.69140625" style="779" customWidth="1"/>
    <col min="1552" max="1552" width="2.69140625" style="779" bestFit="1" customWidth="1"/>
    <col min="1553" max="1791" width="8.69140625" style="779"/>
    <col min="1792" max="1793" width="8.69140625" style="779" customWidth="1"/>
    <col min="1794" max="1794" width="10.07421875" style="779" customWidth="1"/>
    <col min="1795" max="1795" width="2.07421875" style="779" customWidth="1"/>
    <col min="1796" max="1796" width="50.4609375" style="779" customWidth="1"/>
    <col min="1797" max="1797" width="8.69140625" style="779"/>
    <col min="1798" max="1798" width="2.07421875" style="779" customWidth="1"/>
    <col min="1799" max="1799" width="23.69140625" style="779" customWidth="1"/>
    <col min="1800" max="1800" width="2.07421875" style="779" customWidth="1"/>
    <col min="1801" max="1801" width="23.69140625" style="779" customWidth="1"/>
    <col min="1802" max="1802" width="2.07421875" style="779" customWidth="1"/>
    <col min="1803" max="1803" width="23.69140625" style="779" customWidth="1"/>
    <col min="1804" max="1804" width="2.07421875" style="779" customWidth="1"/>
    <col min="1805" max="1805" width="23.69140625" style="779" customWidth="1"/>
    <col min="1806" max="1806" width="2.07421875" style="779" customWidth="1"/>
    <col min="1807" max="1807" width="23.69140625" style="779" customWidth="1"/>
    <col min="1808" max="1808" width="2.69140625" style="779" bestFit="1" customWidth="1"/>
    <col min="1809" max="2047" width="8.69140625" style="779"/>
    <col min="2048" max="2049" width="8.69140625" style="779" customWidth="1"/>
    <col min="2050" max="2050" width="10.07421875" style="779" customWidth="1"/>
    <col min="2051" max="2051" width="2.07421875" style="779" customWidth="1"/>
    <col min="2052" max="2052" width="50.4609375" style="779" customWidth="1"/>
    <col min="2053" max="2053" width="8.69140625" style="779"/>
    <col min="2054" max="2054" width="2.07421875" style="779" customWidth="1"/>
    <col min="2055" max="2055" width="23.69140625" style="779" customWidth="1"/>
    <col min="2056" max="2056" width="2.07421875" style="779" customWidth="1"/>
    <col min="2057" max="2057" width="23.69140625" style="779" customWidth="1"/>
    <col min="2058" max="2058" width="2.07421875" style="779" customWidth="1"/>
    <col min="2059" max="2059" width="23.69140625" style="779" customWidth="1"/>
    <col min="2060" max="2060" width="2.07421875" style="779" customWidth="1"/>
    <col min="2061" max="2061" width="23.69140625" style="779" customWidth="1"/>
    <col min="2062" max="2062" width="2.07421875" style="779" customWidth="1"/>
    <col min="2063" max="2063" width="23.69140625" style="779" customWidth="1"/>
    <col min="2064" max="2064" width="2.69140625" style="779" bestFit="1" customWidth="1"/>
    <col min="2065" max="2303" width="8.69140625" style="779"/>
    <col min="2304" max="2305" width="8.69140625" style="779" customWidth="1"/>
    <col min="2306" max="2306" width="10.07421875" style="779" customWidth="1"/>
    <col min="2307" max="2307" width="2.07421875" style="779" customWidth="1"/>
    <col min="2308" max="2308" width="50.4609375" style="779" customWidth="1"/>
    <col min="2309" max="2309" width="8.69140625" style="779"/>
    <col min="2310" max="2310" width="2.07421875" style="779" customWidth="1"/>
    <col min="2311" max="2311" width="23.69140625" style="779" customWidth="1"/>
    <col min="2312" max="2312" width="2.07421875" style="779" customWidth="1"/>
    <col min="2313" max="2313" width="23.69140625" style="779" customWidth="1"/>
    <col min="2314" max="2314" width="2.07421875" style="779" customWidth="1"/>
    <col min="2315" max="2315" width="23.69140625" style="779" customWidth="1"/>
    <col min="2316" max="2316" width="2.07421875" style="779" customWidth="1"/>
    <col min="2317" max="2317" width="23.69140625" style="779" customWidth="1"/>
    <col min="2318" max="2318" width="2.07421875" style="779" customWidth="1"/>
    <col min="2319" max="2319" width="23.69140625" style="779" customWidth="1"/>
    <col min="2320" max="2320" width="2.69140625" style="779" bestFit="1" customWidth="1"/>
    <col min="2321" max="2559" width="8.69140625" style="779"/>
    <col min="2560" max="2561" width="8.69140625" style="779" customWidth="1"/>
    <col min="2562" max="2562" width="10.07421875" style="779" customWidth="1"/>
    <col min="2563" max="2563" width="2.07421875" style="779" customWidth="1"/>
    <col min="2564" max="2564" width="50.4609375" style="779" customWidth="1"/>
    <col min="2565" max="2565" width="8.69140625" style="779"/>
    <col min="2566" max="2566" width="2.07421875" style="779" customWidth="1"/>
    <col min="2567" max="2567" width="23.69140625" style="779" customWidth="1"/>
    <col min="2568" max="2568" width="2.07421875" style="779" customWidth="1"/>
    <col min="2569" max="2569" width="23.69140625" style="779" customWidth="1"/>
    <col min="2570" max="2570" width="2.07421875" style="779" customWidth="1"/>
    <col min="2571" max="2571" width="23.69140625" style="779" customWidth="1"/>
    <col min="2572" max="2572" width="2.07421875" style="779" customWidth="1"/>
    <col min="2573" max="2573" width="23.69140625" style="779" customWidth="1"/>
    <col min="2574" max="2574" width="2.07421875" style="779" customWidth="1"/>
    <col min="2575" max="2575" width="23.69140625" style="779" customWidth="1"/>
    <col min="2576" max="2576" width="2.69140625" style="779" bestFit="1" customWidth="1"/>
    <col min="2577" max="2815" width="8.69140625" style="779"/>
    <col min="2816" max="2817" width="8.69140625" style="779" customWidth="1"/>
    <col min="2818" max="2818" width="10.07421875" style="779" customWidth="1"/>
    <col min="2819" max="2819" width="2.07421875" style="779" customWidth="1"/>
    <col min="2820" max="2820" width="50.4609375" style="779" customWidth="1"/>
    <col min="2821" max="2821" width="8.69140625" style="779"/>
    <col min="2822" max="2822" width="2.07421875" style="779" customWidth="1"/>
    <col min="2823" max="2823" width="23.69140625" style="779" customWidth="1"/>
    <col min="2824" max="2824" width="2.07421875" style="779" customWidth="1"/>
    <col min="2825" max="2825" width="23.69140625" style="779" customWidth="1"/>
    <col min="2826" max="2826" width="2.07421875" style="779" customWidth="1"/>
    <col min="2827" max="2827" width="23.69140625" style="779" customWidth="1"/>
    <col min="2828" max="2828" width="2.07421875" style="779" customWidth="1"/>
    <col min="2829" max="2829" width="23.69140625" style="779" customWidth="1"/>
    <col min="2830" max="2830" width="2.07421875" style="779" customWidth="1"/>
    <col min="2831" max="2831" width="23.69140625" style="779" customWidth="1"/>
    <col min="2832" max="2832" width="2.69140625" style="779" bestFit="1" customWidth="1"/>
    <col min="2833" max="3071" width="8.69140625" style="779"/>
    <col min="3072" max="3073" width="8.69140625" style="779" customWidth="1"/>
    <col min="3074" max="3074" width="10.07421875" style="779" customWidth="1"/>
    <col min="3075" max="3075" width="2.07421875" style="779" customWidth="1"/>
    <col min="3076" max="3076" width="50.4609375" style="779" customWidth="1"/>
    <col min="3077" max="3077" width="8.69140625" style="779"/>
    <col min="3078" max="3078" width="2.07421875" style="779" customWidth="1"/>
    <col min="3079" max="3079" width="23.69140625" style="779" customWidth="1"/>
    <col min="3080" max="3080" width="2.07421875" style="779" customWidth="1"/>
    <col min="3081" max="3081" width="23.69140625" style="779" customWidth="1"/>
    <col min="3082" max="3082" width="2.07421875" style="779" customWidth="1"/>
    <col min="3083" max="3083" width="23.69140625" style="779" customWidth="1"/>
    <col min="3084" max="3084" width="2.07421875" style="779" customWidth="1"/>
    <col min="3085" max="3085" width="23.69140625" style="779" customWidth="1"/>
    <col min="3086" max="3086" width="2.07421875" style="779" customWidth="1"/>
    <col min="3087" max="3087" width="23.69140625" style="779" customWidth="1"/>
    <col min="3088" max="3088" width="2.69140625" style="779" bestFit="1" customWidth="1"/>
    <col min="3089" max="3327" width="8.69140625" style="779"/>
    <col min="3328" max="3329" width="8.69140625" style="779" customWidth="1"/>
    <col min="3330" max="3330" width="10.07421875" style="779" customWidth="1"/>
    <col min="3331" max="3331" width="2.07421875" style="779" customWidth="1"/>
    <col min="3332" max="3332" width="50.4609375" style="779" customWidth="1"/>
    <col min="3333" max="3333" width="8.69140625" style="779"/>
    <col min="3334" max="3334" width="2.07421875" style="779" customWidth="1"/>
    <col min="3335" max="3335" width="23.69140625" style="779" customWidth="1"/>
    <col min="3336" max="3336" width="2.07421875" style="779" customWidth="1"/>
    <col min="3337" max="3337" width="23.69140625" style="779" customWidth="1"/>
    <col min="3338" max="3338" width="2.07421875" style="779" customWidth="1"/>
    <col min="3339" max="3339" width="23.69140625" style="779" customWidth="1"/>
    <col min="3340" max="3340" width="2.07421875" style="779" customWidth="1"/>
    <col min="3341" max="3341" width="23.69140625" style="779" customWidth="1"/>
    <col min="3342" max="3342" width="2.07421875" style="779" customWidth="1"/>
    <col min="3343" max="3343" width="23.69140625" style="779" customWidth="1"/>
    <col min="3344" max="3344" width="2.69140625" style="779" bestFit="1" customWidth="1"/>
    <col min="3345" max="3583" width="8.69140625" style="779"/>
    <col min="3584" max="3585" width="8.69140625" style="779" customWidth="1"/>
    <col min="3586" max="3586" width="10.07421875" style="779" customWidth="1"/>
    <col min="3587" max="3587" width="2.07421875" style="779" customWidth="1"/>
    <col min="3588" max="3588" width="50.4609375" style="779" customWidth="1"/>
    <col min="3589" max="3589" width="8.69140625" style="779"/>
    <col min="3590" max="3590" width="2.07421875" style="779" customWidth="1"/>
    <col min="3591" max="3591" width="23.69140625" style="779" customWidth="1"/>
    <col min="3592" max="3592" width="2.07421875" style="779" customWidth="1"/>
    <col min="3593" max="3593" width="23.69140625" style="779" customWidth="1"/>
    <col min="3594" max="3594" width="2.07421875" style="779" customWidth="1"/>
    <col min="3595" max="3595" width="23.69140625" style="779" customWidth="1"/>
    <col min="3596" max="3596" width="2.07421875" style="779" customWidth="1"/>
    <col min="3597" max="3597" width="23.69140625" style="779" customWidth="1"/>
    <col min="3598" max="3598" width="2.07421875" style="779" customWidth="1"/>
    <col min="3599" max="3599" width="23.69140625" style="779" customWidth="1"/>
    <col min="3600" max="3600" width="2.69140625" style="779" bestFit="1" customWidth="1"/>
    <col min="3601" max="3839" width="8.69140625" style="779"/>
    <col min="3840" max="3841" width="8.69140625" style="779" customWidth="1"/>
    <col min="3842" max="3842" width="10.07421875" style="779" customWidth="1"/>
    <col min="3843" max="3843" width="2.07421875" style="779" customWidth="1"/>
    <col min="3844" max="3844" width="50.4609375" style="779" customWidth="1"/>
    <col min="3845" max="3845" width="8.69140625" style="779"/>
    <col min="3846" max="3846" width="2.07421875" style="779" customWidth="1"/>
    <col min="3847" max="3847" width="23.69140625" style="779" customWidth="1"/>
    <col min="3848" max="3848" width="2.07421875" style="779" customWidth="1"/>
    <col min="3849" max="3849" width="23.69140625" style="779" customWidth="1"/>
    <col min="3850" max="3850" width="2.07421875" style="779" customWidth="1"/>
    <col min="3851" max="3851" width="23.69140625" style="779" customWidth="1"/>
    <col min="3852" max="3852" width="2.07421875" style="779" customWidth="1"/>
    <col min="3853" max="3853" width="23.69140625" style="779" customWidth="1"/>
    <col min="3854" max="3854" width="2.07421875" style="779" customWidth="1"/>
    <col min="3855" max="3855" width="23.69140625" style="779" customWidth="1"/>
    <col min="3856" max="3856" width="2.69140625" style="779" bestFit="1" customWidth="1"/>
    <col min="3857" max="4095" width="8.69140625" style="779"/>
    <col min="4096" max="4097" width="8.69140625" style="779" customWidth="1"/>
    <col min="4098" max="4098" width="10.07421875" style="779" customWidth="1"/>
    <col min="4099" max="4099" width="2.07421875" style="779" customWidth="1"/>
    <col min="4100" max="4100" width="50.4609375" style="779" customWidth="1"/>
    <col min="4101" max="4101" width="8.69140625" style="779"/>
    <col min="4102" max="4102" width="2.07421875" style="779" customWidth="1"/>
    <col min="4103" max="4103" width="23.69140625" style="779" customWidth="1"/>
    <col min="4104" max="4104" width="2.07421875" style="779" customWidth="1"/>
    <col min="4105" max="4105" width="23.69140625" style="779" customWidth="1"/>
    <col min="4106" max="4106" width="2.07421875" style="779" customWidth="1"/>
    <col min="4107" max="4107" width="23.69140625" style="779" customWidth="1"/>
    <col min="4108" max="4108" width="2.07421875" style="779" customWidth="1"/>
    <col min="4109" max="4109" width="23.69140625" style="779" customWidth="1"/>
    <col min="4110" max="4110" width="2.07421875" style="779" customWidth="1"/>
    <col min="4111" max="4111" width="23.69140625" style="779" customWidth="1"/>
    <col min="4112" max="4112" width="2.69140625" style="779" bestFit="1" customWidth="1"/>
    <col min="4113" max="4351" width="8.69140625" style="779"/>
    <col min="4352" max="4353" width="8.69140625" style="779" customWidth="1"/>
    <col min="4354" max="4354" width="10.07421875" style="779" customWidth="1"/>
    <col min="4355" max="4355" width="2.07421875" style="779" customWidth="1"/>
    <col min="4356" max="4356" width="50.4609375" style="779" customWidth="1"/>
    <col min="4357" max="4357" width="8.69140625" style="779"/>
    <col min="4358" max="4358" width="2.07421875" style="779" customWidth="1"/>
    <col min="4359" max="4359" width="23.69140625" style="779" customWidth="1"/>
    <col min="4360" max="4360" width="2.07421875" style="779" customWidth="1"/>
    <col min="4361" max="4361" width="23.69140625" style="779" customWidth="1"/>
    <col min="4362" max="4362" width="2.07421875" style="779" customWidth="1"/>
    <col min="4363" max="4363" width="23.69140625" style="779" customWidth="1"/>
    <col min="4364" max="4364" width="2.07421875" style="779" customWidth="1"/>
    <col min="4365" max="4365" width="23.69140625" style="779" customWidth="1"/>
    <col min="4366" max="4366" width="2.07421875" style="779" customWidth="1"/>
    <col min="4367" max="4367" width="23.69140625" style="779" customWidth="1"/>
    <col min="4368" max="4368" width="2.69140625" style="779" bestFit="1" customWidth="1"/>
    <col min="4369" max="4607" width="8.69140625" style="779"/>
    <col min="4608" max="4609" width="8.69140625" style="779" customWidth="1"/>
    <col min="4610" max="4610" width="10.07421875" style="779" customWidth="1"/>
    <col min="4611" max="4611" width="2.07421875" style="779" customWidth="1"/>
    <col min="4612" max="4612" width="50.4609375" style="779" customWidth="1"/>
    <col min="4613" max="4613" width="8.69140625" style="779"/>
    <col min="4614" max="4614" width="2.07421875" style="779" customWidth="1"/>
    <col min="4615" max="4615" width="23.69140625" style="779" customWidth="1"/>
    <col min="4616" max="4616" width="2.07421875" style="779" customWidth="1"/>
    <col min="4617" max="4617" width="23.69140625" style="779" customWidth="1"/>
    <col min="4618" max="4618" width="2.07421875" style="779" customWidth="1"/>
    <col min="4619" max="4619" width="23.69140625" style="779" customWidth="1"/>
    <col min="4620" max="4620" width="2.07421875" style="779" customWidth="1"/>
    <col min="4621" max="4621" width="23.69140625" style="779" customWidth="1"/>
    <col min="4622" max="4622" width="2.07421875" style="779" customWidth="1"/>
    <col min="4623" max="4623" width="23.69140625" style="779" customWidth="1"/>
    <col min="4624" max="4624" width="2.69140625" style="779" bestFit="1" customWidth="1"/>
    <col min="4625" max="4863" width="8.69140625" style="779"/>
    <col min="4864" max="4865" width="8.69140625" style="779" customWidth="1"/>
    <col min="4866" max="4866" width="10.07421875" style="779" customWidth="1"/>
    <col min="4867" max="4867" width="2.07421875" style="779" customWidth="1"/>
    <col min="4868" max="4868" width="50.4609375" style="779" customWidth="1"/>
    <col min="4869" max="4869" width="8.69140625" style="779"/>
    <col min="4870" max="4870" width="2.07421875" style="779" customWidth="1"/>
    <col min="4871" max="4871" width="23.69140625" style="779" customWidth="1"/>
    <col min="4872" max="4872" width="2.07421875" style="779" customWidth="1"/>
    <col min="4873" max="4873" width="23.69140625" style="779" customWidth="1"/>
    <col min="4874" max="4874" width="2.07421875" style="779" customWidth="1"/>
    <col min="4875" max="4875" width="23.69140625" style="779" customWidth="1"/>
    <col min="4876" max="4876" width="2.07421875" style="779" customWidth="1"/>
    <col min="4877" max="4877" width="23.69140625" style="779" customWidth="1"/>
    <col min="4878" max="4878" width="2.07421875" style="779" customWidth="1"/>
    <col min="4879" max="4879" width="23.69140625" style="779" customWidth="1"/>
    <col min="4880" max="4880" width="2.69140625" style="779" bestFit="1" customWidth="1"/>
    <col min="4881" max="5119" width="8.69140625" style="779"/>
    <col min="5120" max="5121" width="8.69140625" style="779" customWidth="1"/>
    <col min="5122" max="5122" width="10.07421875" style="779" customWidth="1"/>
    <col min="5123" max="5123" width="2.07421875" style="779" customWidth="1"/>
    <col min="5124" max="5124" width="50.4609375" style="779" customWidth="1"/>
    <col min="5125" max="5125" width="8.69140625" style="779"/>
    <col min="5126" max="5126" width="2.07421875" style="779" customWidth="1"/>
    <col min="5127" max="5127" width="23.69140625" style="779" customWidth="1"/>
    <col min="5128" max="5128" width="2.07421875" style="779" customWidth="1"/>
    <col min="5129" max="5129" width="23.69140625" style="779" customWidth="1"/>
    <col min="5130" max="5130" width="2.07421875" style="779" customWidth="1"/>
    <col min="5131" max="5131" width="23.69140625" style="779" customWidth="1"/>
    <col min="5132" max="5132" width="2.07421875" style="779" customWidth="1"/>
    <col min="5133" max="5133" width="23.69140625" style="779" customWidth="1"/>
    <col min="5134" max="5134" width="2.07421875" style="779" customWidth="1"/>
    <col min="5135" max="5135" width="23.69140625" style="779" customWidth="1"/>
    <col min="5136" max="5136" width="2.69140625" style="779" bestFit="1" customWidth="1"/>
    <col min="5137" max="5375" width="8.69140625" style="779"/>
    <col min="5376" max="5377" width="8.69140625" style="779" customWidth="1"/>
    <col min="5378" max="5378" width="10.07421875" style="779" customWidth="1"/>
    <col min="5379" max="5379" width="2.07421875" style="779" customWidth="1"/>
    <col min="5380" max="5380" width="50.4609375" style="779" customWidth="1"/>
    <col min="5381" max="5381" width="8.69140625" style="779"/>
    <col min="5382" max="5382" width="2.07421875" style="779" customWidth="1"/>
    <col min="5383" max="5383" width="23.69140625" style="779" customWidth="1"/>
    <col min="5384" max="5384" width="2.07421875" style="779" customWidth="1"/>
    <col min="5385" max="5385" width="23.69140625" style="779" customWidth="1"/>
    <col min="5386" max="5386" width="2.07421875" style="779" customWidth="1"/>
    <col min="5387" max="5387" width="23.69140625" style="779" customWidth="1"/>
    <col min="5388" max="5388" width="2.07421875" style="779" customWidth="1"/>
    <col min="5389" max="5389" width="23.69140625" style="779" customWidth="1"/>
    <col min="5390" max="5390" width="2.07421875" style="779" customWidth="1"/>
    <col min="5391" max="5391" width="23.69140625" style="779" customWidth="1"/>
    <col min="5392" max="5392" width="2.69140625" style="779" bestFit="1" customWidth="1"/>
    <col min="5393" max="5631" width="8.69140625" style="779"/>
    <col min="5632" max="5633" width="8.69140625" style="779" customWidth="1"/>
    <col min="5634" max="5634" width="10.07421875" style="779" customWidth="1"/>
    <col min="5635" max="5635" width="2.07421875" style="779" customWidth="1"/>
    <col min="5636" max="5636" width="50.4609375" style="779" customWidth="1"/>
    <col min="5637" max="5637" width="8.69140625" style="779"/>
    <col min="5638" max="5638" width="2.07421875" style="779" customWidth="1"/>
    <col min="5639" max="5639" width="23.69140625" style="779" customWidth="1"/>
    <col min="5640" max="5640" width="2.07421875" style="779" customWidth="1"/>
    <col min="5641" max="5641" width="23.69140625" style="779" customWidth="1"/>
    <col min="5642" max="5642" width="2.07421875" style="779" customWidth="1"/>
    <col min="5643" max="5643" width="23.69140625" style="779" customWidth="1"/>
    <col min="5644" max="5644" width="2.07421875" style="779" customWidth="1"/>
    <col min="5645" max="5645" width="23.69140625" style="779" customWidth="1"/>
    <col min="5646" max="5646" width="2.07421875" style="779" customWidth="1"/>
    <col min="5647" max="5647" width="23.69140625" style="779" customWidth="1"/>
    <col min="5648" max="5648" width="2.69140625" style="779" bestFit="1" customWidth="1"/>
    <col min="5649" max="5887" width="8.69140625" style="779"/>
    <col min="5888" max="5889" width="8.69140625" style="779" customWidth="1"/>
    <col min="5890" max="5890" width="10.07421875" style="779" customWidth="1"/>
    <col min="5891" max="5891" width="2.07421875" style="779" customWidth="1"/>
    <col min="5892" max="5892" width="50.4609375" style="779" customWidth="1"/>
    <col min="5893" max="5893" width="8.69140625" style="779"/>
    <col min="5894" max="5894" width="2.07421875" style="779" customWidth="1"/>
    <col min="5895" max="5895" width="23.69140625" style="779" customWidth="1"/>
    <col min="5896" max="5896" width="2.07421875" style="779" customWidth="1"/>
    <col min="5897" max="5897" width="23.69140625" style="779" customWidth="1"/>
    <col min="5898" max="5898" width="2.07421875" style="779" customWidth="1"/>
    <col min="5899" max="5899" width="23.69140625" style="779" customWidth="1"/>
    <col min="5900" max="5900" width="2.07421875" style="779" customWidth="1"/>
    <col min="5901" max="5901" width="23.69140625" style="779" customWidth="1"/>
    <col min="5902" max="5902" width="2.07421875" style="779" customWidth="1"/>
    <col min="5903" max="5903" width="23.69140625" style="779" customWidth="1"/>
    <col min="5904" max="5904" width="2.69140625" style="779" bestFit="1" customWidth="1"/>
    <col min="5905" max="6143" width="8.69140625" style="779"/>
    <col min="6144" max="6145" width="8.69140625" style="779" customWidth="1"/>
    <col min="6146" max="6146" width="10.07421875" style="779" customWidth="1"/>
    <col min="6147" max="6147" width="2.07421875" style="779" customWidth="1"/>
    <col min="6148" max="6148" width="50.4609375" style="779" customWidth="1"/>
    <col min="6149" max="6149" width="8.69140625" style="779"/>
    <col min="6150" max="6150" width="2.07421875" style="779" customWidth="1"/>
    <col min="6151" max="6151" width="23.69140625" style="779" customWidth="1"/>
    <col min="6152" max="6152" width="2.07421875" style="779" customWidth="1"/>
    <col min="6153" max="6153" width="23.69140625" style="779" customWidth="1"/>
    <col min="6154" max="6154" width="2.07421875" style="779" customWidth="1"/>
    <col min="6155" max="6155" width="23.69140625" style="779" customWidth="1"/>
    <col min="6156" max="6156" width="2.07421875" style="779" customWidth="1"/>
    <col min="6157" max="6157" width="23.69140625" style="779" customWidth="1"/>
    <col min="6158" max="6158" width="2.07421875" style="779" customWidth="1"/>
    <col min="6159" max="6159" width="23.69140625" style="779" customWidth="1"/>
    <col min="6160" max="6160" width="2.69140625" style="779" bestFit="1" customWidth="1"/>
    <col min="6161" max="6399" width="8.69140625" style="779"/>
    <col min="6400" max="6401" width="8.69140625" style="779" customWidth="1"/>
    <col min="6402" max="6402" width="10.07421875" style="779" customWidth="1"/>
    <col min="6403" max="6403" width="2.07421875" style="779" customWidth="1"/>
    <col min="6404" max="6404" width="50.4609375" style="779" customWidth="1"/>
    <col min="6405" max="6405" width="8.69140625" style="779"/>
    <col min="6406" max="6406" width="2.07421875" style="779" customWidth="1"/>
    <col min="6407" max="6407" width="23.69140625" style="779" customWidth="1"/>
    <col min="6408" max="6408" width="2.07421875" style="779" customWidth="1"/>
    <col min="6409" max="6409" width="23.69140625" style="779" customWidth="1"/>
    <col min="6410" max="6410" width="2.07421875" style="779" customWidth="1"/>
    <col min="6411" max="6411" width="23.69140625" style="779" customWidth="1"/>
    <col min="6412" max="6412" width="2.07421875" style="779" customWidth="1"/>
    <col min="6413" max="6413" width="23.69140625" style="779" customWidth="1"/>
    <col min="6414" max="6414" width="2.07421875" style="779" customWidth="1"/>
    <col min="6415" max="6415" width="23.69140625" style="779" customWidth="1"/>
    <col min="6416" max="6416" width="2.69140625" style="779" bestFit="1" customWidth="1"/>
    <col min="6417" max="6655" width="8.69140625" style="779"/>
    <col min="6656" max="6657" width="8.69140625" style="779" customWidth="1"/>
    <col min="6658" max="6658" width="10.07421875" style="779" customWidth="1"/>
    <col min="6659" max="6659" width="2.07421875" style="779" customWidth="1"/>
    <col min="6660" max="6660" width="50.4609375" style="779" customWidth="1"/>
    <col min="6661" max="6661" width="8.69140625" style="779"/>
    <col min="6662" max="6662" width="2.07421875" style="779" customWidth="1"/>
    <col min="6663" max="6663" width="23.69140625" style="779" customWidth="1"/>
    <col min="6664" max="6664" width="2.07421875" style="779" customWidth="1"/>
    <col min="6665" max="6665" width="23.69140625" style="779" customWidth="1"/>
    <col min="6666" max="6666" width="2.07421875" style="779" customWidth="1"/>
    <col min="6667" max="6667" width="23.69140625" style="779" customWidth="1"/>
    <col min="6668" max="6668" width="2.07421875" style="779" customWidth="1"/>
    <col min="6669" max="6669" width="23.69140625" style="779" customWidth="1"/>
    <col min="6670" max="6670" width="2.07421875" style="779" customWidth="1"/>
    <col min="6671" max="6671" width="23.69140625" style="779" customWidth="1"/>
    <col min="6672" max="6672" width="2.69140625" style="779" bestFit="1" customWidth="1"/>
    <col min="6673" max="6911" width="8.69140625" style="779"/>
    <col min="6912" max="6913" width="8.69140625" style="779" customWidth="1"/>
    <col min="6914" max="6914" width="10.07421875" style="779" customWidth="1"/>
    <col min="6915" max="6915" width="2.07421875" style="779" customWidth="1"/>
    <col min="6916" max="6916" width="50.4609375" style="779" customWidth="1"/>
    <col min="6917" max="6917" width="8.69140625" style="779"/>
    <col min="6918" max="6918" width="2.07421875" style="779" customWidth="1"/>
    <col min="6919" max="6919" width="23.69140625" style="779" customWidth="1"/>
    <col min="6920" max="6920" width="2.07421875" style="779" customWidth="1"/>
    <col min="6921" max="6921" width="23.69140625" style="779" customWidth="1"/>
    <col min="6922" max="6922" width="2.07421875" style="779" customWidth="1"/>
    <col min="6923" max="6923" width="23.69140625" style="779" customWidth="1"/>
    <col min="6924" max="6924" width="2.07421875" style="779" customWidth="1"/>
    <col min="6925" max="6925" width="23.69140625" style="779" customWidth="1"/>
    <col min="6926" max="6926" width="2.07421875" style="779" customWidth="1"/>
    <col min="6927" max="6927" width="23.69140625" style="779" customWidth="1"/>
    <col min="6928" max="6928" width="2.69140625" style="779" bestFit="1" customWidth="1"/>
    <col min="6929" max="7167" width="8.69140625" style="779"/>
    <col min="7168" max="7169" width="8.69140625" style="779" customWidth="1"/>
    <col min="7170" max="7170" width="10.07421875" style="779" customWidth="1"/>
    <col min="7171" max="7171" width="2.07421875" style="779" customWidth="1"/>
    <col min="7172" max="7172" width="50.4609375" style="779" customWidth="1"/>
    <col min="7173" max="7173" width="8.69140625" style="779"/>
    <col min="7174" max="7174" width="2.07421875" style="779" customWidth="1"/>
    <col min="7175" max="7175" width="23.69140625" style="779" customWidth="1"/>
    <col min="7176" max="7176" width="2.07421875" style="779" customWidth="1"/>
    <col min="7177" max="7177" width="23.69140625" style="779" customWidth="1"/>
    <col min="7178" max="7178" width="2.07421875" style="779" customWidth="1"/>
    <col min="7179" max="7179" width="23.69140625" style="779" customWidth="1"/>
    <col min="7180" max="7180" width="2.07421875" style="779" customWidth="1"/>
    <col min="7181" max="7181" width="23.69140625" style="779" customWidth="1"/>
    <col min="7182" max="7182" width="2.07421875" style="779" customWidth="1"/>
    <col min="7183" max="7183" width="23.69140625" style="779" customWidth="1"/>
    <col min="7184" max="7184" width="2.69140625" style="779" bestFit="1" customWidth="1"/>
    <col min="7185" max="7423" width="8.69140625" style="779"/>
    <col min="7424" max="7425" width="8.69140625" style="779" customWidth="1"/>
    <col min="7426" max="7426" width="10.07421875" style="779" customWidth="1"/>
    <col min="7427" max="7427" width="2.07421875" style="779" customWidth="1"/>
    <col min="7428" max="7428" width="50.4609375" style="779" customWidth="1"/>
    <col min="7429" max="7429" width="8.69140625" style="779"/>
    <col min="7430" max="7430" width="2.07421875" style="779" customWidth="1"/>
    <col min="7431" max="7431" width="23.69140625" style="779" customWidth="1"/>
    <col min="7432" max="7432" width="2.07421875" style="779" customWidth="1"/>
    <col min="7433" max="7433" width="23.69140625" style="779" customWidth="1"/>
    <col min="7434" max="7434" width="2.07421875" style="779" customWidth="1"/>
    <col min="7435" max="7435" width="23.69140625" style="779" customWidth="1"/>
    <col min="7436" max="7436" width="2.07421875" style="779" customWidth="1"/>
    <col min="7437" max="7437" width="23.69140625" style="779" customWidth="1"/>
    <col min="7438" max="7438" width="2.07421875" style="779" customWidth="1"/>
    <col min="7439" max="7439" width="23.69140625" style="779" customWidth="1"/>
    <col min="7440" max="7440" width="2.69140625" style="779" bestFit="1" customWidth="1"/>
    <col min="7441" max="7679" width="8.69140625" style="779"/>
    <col min="7680" max="7681" width="8.69140625" style="779" customWidth="1"/>
    <col min="7682" max="7682" width="10.07421875" style="779" customWidth="1"/>
    <col min="7683" max="7683" width="2.07421875" style="779" customWidth="1"/>
    <col min="7684" max="7684" width="50.4609375" style="779" customWidth="1"/>
    <col min="7685" max="7685" width="8.69140625" style="779"/>
    <col min="7686" max="7686" width="2.07421875" style="779" customWidth="1"/>
    <col min="7687" max="7687" width="23.69140625" style="779" customWidth="1"/>
    <col min="7688" max="7688" width="2.07421875" style="779" customWidth="1"/>
    <col min="7689" max="7689" width="23.69140625" style="779" customWidth="1"/>
    <col min="7690" max="7690" width="2.07421875" style="779" customWidth="1"/>
    <col min="7691" max="7691" width="23.69140625" style="779" customWidth="1"/>
    <col min="7692" max="7692" width="2.07421875" style="779" customWidth="1"/>
    <col min="7693" max="7693" width="23.69140625" style="779" customWidth="1"/>
    <col min="7694" max="7694" width="2.07421875" style="779" customWidth="1"/>
    <col min="7695" max="7695" width="23.69140625" style="779" customWidth="1"/>
    <col min="7696" max="7696" width="2.69140625" style="779" bestFit="1" customWidth="1"/>
    <col min="7697" max="7935" width="8.69140625" style="779"/>
    <col min="7936" max="7937" width="8.69140625" style="779" customWidth="1"/>
    <col min="7938" max="7938" width="10.07421875" style="779" customWidth="1"/>
    <col min="7939" max="7939" width="2.07421875" style="779" customWidth="1"/>
    <col min="7940" max="7940" width="50.4609375" style="779" customWidth="1"/>
    <col min="7941" max="7941" width="8.69140625" style="779"/>
    <col min="7942" max="7942" width="2.07421875" style="779" customWidth="1"/>
    <col min="7943" max="7943" width="23.69140625" style="779" customWidth="1"/>
    <col min="7944" max="7944" width="2.07421875" style="779" customWidth="1"/>
    <col min="7945" max="7945" width="23.69140625" style="779" customWidth="1"/>
    <col min="7946" max="7946" width="2.07421875" style="779" customWidth="1"/>
    <col min="7947" max="7947" width="23.69140625" style="779" customWidth="1"/>
    <col min="7948" max="7948" width="2.07421875" style="779" customWidth="1"/>
    <col min="7949" max="7949" width="23.69140625" style="779" customWidth="1"/>
    <col min="7950" max="7950" width="2.07421875" style="779" customWidth="1"/>
    <col min="7951" max="7951" width="23.69140625" style="779" customWidth="1"/>
    <col min="7952" max="7952" width="2.69140625" style="779" bestFit="1" customWidth="1"/>
    <col min="7953" max="8191" width="8.69140625" style="779"/>
    <col min="8192" max="8193" width="8.69140625" style="779" customWidth="1"/>
    <col min="8194" max="8194" width="10.07421875" style="779" customWidth="1"/>
    <col min="8195" max="8195" width="2.07421875" style="779" customWidth="1"/>
    <col min="8196" max="8196" width="50.4609375" style="779" customWidth="1"/>
    <col min="8197" max="8197" width="8.69140625" style="779"/>
    <col min="8198" max="8198" width="2.07421875" style="779" customWidth="1"/>
    <col min="8199" max="8199" width="23.69140625" style="779" customWidth="1"/>
    <col min="8200" max="8200" width="2.07421875" style="779" customWidth="1"/>
    <col min="8201" max="8201" width="23.69140625" style="779" customWidth="1"/>
    <col min="8202" max="8202" width="2.07421875" style="779" customWidth="1"/>
    <col min="8203" max="8203" width="23.69140625" style="779" customWidth="1"/>
    <col min="8204" max="8204" width="2.07421875" style="779" customWidth="1"/>
    <col min="8205" max="8205" width="23.69140625" style="779" customWidth="1"/>
    <col min="8206" max="8206" width="2.07421875" style="779" customWidth="1"/>
    <col min="8207" max="8207" width="23.69140625" style="779" customWidth="1"/>
    <col min="8208" max="8208" width="2.69140625" style="779" bestFit="1" customWidth="1"/>
    <col min="8209" max="8447" width="8.69140625" style="779"/>
    <col min="8448" max="8449" width="8.69140625" style="779" customWidth="1"/>
    <col min="8450" max="8450" width="10.07421875" style="779" customWidth="1"/>
    <col min="8451" max="8451" width="2.07421875" style="779" customWidth="1"/>
    <col min="8452" max="8452" width="50.4609375" style="779" customWidth="1"/>
    <col min="8453" max="8453" width="8.69140625" style="779"/>
    <col min="8454" max="8454" width="2.07421875" style="779" customWidth="1"/>
    <col min="8455" max="8455" width="23.69140625" style="779" customWidth="1"/>
    <col min="8456" max="8456" width="2.07421875" style="779" customWidth="1"/>
    <col min="8457" max="8457" width="23.69140625" style="779" customWidth="1"/>
    <col min="8458" max="8458" width="2.07421875" style="779" customWidth="1"/>
    <col min="8459" max="8459" width="23.69140625" style="779" customWidth="1"/>
    <col min="8460" max="8460" width="2.07421875" style="779" customWidth="1"/>
    <col min="8461" max="8461" width="23.69140625" style="779" customWidth="1"/>
    <col min="8462" max="8462" width="2.07421875" style="779" customWidth="1"/>
    <col min="8463" max="8463" width="23.69140625" style="779" customWidth="1"/>
    <col min="8464" max="8464" width="2.69140625" style="779" bestFit="1" customWidth="1"/>
    <col min="8465" max="8703" width="8.69140625" style="779"/>
    <col min="8704" max="8705" width="8.69140625" style="779" customWidth="1"/>
    <col min="8706" max="8706" width="10.07421875" style="779" customWidth="1"/>
    <col min="8707" max="8707" width="2.07421875" style="779" customWidth="1"/>
    <col min="8708" max="8708" width="50.4609375" style="779" customWidth="1"/>
    <col min="8709" max="8709" width="8.69140625" style="779"/>
    <col min="8710" max="8710" width="2.07421875" style="779" customWidth="1"/>
    <col min="8711" max="8711" width="23.69140625" style="779" customWidth="1"/>
    <col min="8712" max="8712" width="2.07421875" style="779" customWidth="1"/>
    <col min="8713" max="8713" width="23.69140625" style="779" customWidth="1"/>
    <col min="8714" max="8714" width="2.07421875" style="779" customWidth="1"/>
    <col min="8715" max="8715" width="23.69140625" style="779" customWidth="1"/>
    <col min="8716" max="8716" width="2.07421875" style="779" customWidth="1"/>
    <col min="8717" max="8717" width="23.69140625" style="779" customWidth="1"/>
    <col min="8718" max="8718" width="2.07421875" style="779" customWidth="1"/>
    <col min="8719" max="8719" width="23.69140625" style="779" customWidth="1"/>
    <col min="8720" max="8720" width="2.69140625" style="779" bestFit="1" customWidth="1"/>
    <col min="8721" max="8959" width="8.69140625" style="779"/>
    <col min="8960" max="8961" width="8.69140625" style="779" customWidth="1"/>
    <col min="8962" max="8962" width="10.07421875" style="779" customWidth="1"/>
    <col min="8963" max="8963" width="2.07421875" style="779" customWidth="1"/>
    <col min="8964" max="8964" width="50.4609375" style="779" customWidth="1"/>
    <col min="8965" max="8965" width="8.69140625" style="779"/>
    <col min="8966" max="8966" width="2.07421875" style="779" customWidth="1"/>
    <col min="8967" max="8967" width="23.69140625" style="779" customWidth="1"/>
    <col min="8968" max="8968" width="2.07421875" style="779" customWidth="1"/>
    <col min="8969" max="8969" width="23.69140625" style="779" customWidth="1"/>
    <col min="8970" max="8970" width="2.07421875" style="779" customWidth="1"/>
    <col min="8971" max="8971" width="23.69140625" style="779" customWidth="1"/>
    <col min="8972" max="8972" width="2.07421875" style="779" customWidth="1"/>
    <col min="8973" max="8973" width="23.69140625" style="779" customWidth="1"/>
    <col min="8974" max="8974" width="2.07421875" style="779" customWidth="1"/>
    <col min="8975" max="8975" width="23.69140625" style="779" customWidth="1"/>
    <col min="8976" max="8976" width="2.69140625" style="779" bestFit="1" customWidth="1"/>
    <col min="8977" max="9215" width="8.69140625" style="779"/>
    <col min="9216" max="9217" width="8.69140625" style="779" customWidth="1"/>
    <col min="9218" max="9218" width="10.07421875" style="779" customWidth="1"/>
    <col min="9219" max="9219" width="2.07421875" style="779" customWidth="1"/>
    <col min="9220" max="9220" width="50.4609375" style="779" customWidth="1"/>
    <col min="9221" max="9221" width="8.69140625" style="779"/>
    <col min="9222" max="9222" width="2.07421875" style="779" customWidth="1"/>
    <col min="9223" max="9223" width="23.69140625" style="779" customWidth="1"/>
    <col min="9224" max="9224" width="2.07421875" style="779" customWidth="1"/>
    <col min="9225" max="9225" width="23.69140625" style="779" customWidth="1"/>
    <col min="9226" max="9226" width="2.07421875" style="779" customWidth="1"/>
    <col min="9227" max="9227" width="23.69140625" style="779" customWidth="1"/>
    <col min="9228" max="9228" width="2.07421875" style="779" customWidth="1"/>
    <col min="9229" max="9229" width="23.69140625" style="779" customWidth="1"/>
    <col min="9230" max="9230" width="2.07421875" style="779" customWidth="1"/>
    <col min="9231" max="9231" width="23.69140625" style="779" customWidth="1"/>
    <col min="9232" max="9232" width="2.69140625" style="779" bestFit="1" customWidth="1"/>
    <col min="9233" max="9471" width="8.69140625" style="779"/>
    <col min="9472" max="9473" width="8.69140625" style="779" customWidth="1"/>
    <col min="9474" max="9474" width="10.07421875" style="779" customWidth="1"/>
    <col min="9475" max="9475" width="2.07421875" style="779" customWidth="1"/>
    <col min="9476" max="9476" width="50.4609375" style="779" customWidth="1"/>
    <col min="9477" max="9477" width="8.69140625" style="779"/>
    <col min="9478" max="9478" width="2.07421875" style="779" customWidth="1"/>
    <col min="9479" max="9479" width="23.69140625" style="779" customWidth="1"/>
    <col min="9480" max="9480" width="2.07421875" style="779" customWidth="1"/>
    <col min="9481" max="9481" width="23.69140625" style="779" customWidth="1"/>
    <col min="9482" max="9482" width="2.07421875" style="779" customWidth="1"/>
    <col min="9483" max="9483" width="23.69140625" style="779" customWidth="1"/>
    <col min="9484" max="9484" width="2.07421875" style="779" customWidth="1"/>
    <col min="9485" max="9485" width="23.69140625" style="779" customWidth="1"/>
    <col min="9486" max="9486" width="2.07421875" style="779" customWidth="1"/>
    <col min="9487" max="9487" width="23.69140625" style="779" customWidth="1"/>
    <col min="9488" max="9488" width="2.69140625" style="779" bestFit="1" customWidth="1"/>
    <col min="9489" max="9727" width="8.69140625" style="779"/>
    <col min="9728" max="9729" width="8.69140625" style="779" customWidth="1"/>
    <col min="9730" max="9730" width="10.07421875" style="779" customWidth="1"/>
    <col min="9731" max="9731" width="2.07421875" style="779" customWidth="1"/>
    <col min="9732" max="9732" width="50.4609375" style="779" customWidth="1"/>
    <col min="9733" max="9733" width="8.69140625" style="779"/>
    <col min="9734" max="9734" width="2.07421875" style="779" customWidth="1"/>
    <col min="9735" max="9735" width="23.69140625" style="779" customWidth="1"/>
    <col min="9736" max="9736" width="2.07421875" style="779" customWidth="1"/>
    <col min="9737" max="9737" width="23.69140625" style="779" customWidth="1"/>
    <col min="9738" max="9738" width="2.07421875" style="779" customWidth="1"/>
    <col min="9739" max="9739" width="23.69140625" style="779" customWidth="1"/>
    <col min="9740" max="9740" width="2.07421875" style="779" customWidth="1"/>
    <col min="9741" max="9741" width="23.69140625" style="779" customWidth="1"/>
    <col min="9742" max="9742" width="2.07421875" style="779" customWidth="1"/>
    <col min="9743" max="9743" width="23.69140625" style="779" customWidth="1"/>
    <col min="9744" max="9744" width="2.69140625" style="779" bestFit="1" customWidth="1"/>
    <col min="9745" max="9983" width="8.69140625" style="779"/>
    <col min="9984" max="9985" width="8.69140625" style="779" customWidth="1"/>
    <col min="9986" max="9986" width="10.07421875" style="779" customWidth="1"/>
    <col min="9987" max="9987" width="2.07421875" style="779" customWidth="1"/>
    <col min="9988" max="9988" width="50.4609375" style="779" customWidth="1"/>
    <col min="9989" max="9989" width="8.69140625" style="779"/>
    <col min="9990" max="9990" width="2.07421875" style="779" customWidth="1"/>
    <col min="9991" max="9991" width="23.69140625" style="779" customWidth="1"/>
    <col min="9992" max="9992" width="2.07421875" style="779" customWidth="1"/>
    <col min="9993" max="9993" width="23.69140625" style="779" customWidth="1"/>
    <col min="9994" max="9994" width="2.07421875" style="779" customWidth="1"/>
    <col min="9995" max="9995" width="23.69140625" style="779" customWidth="1"/>
    <col min="9996" max="9996" width="2.07421875" style="779" customWidth="1"/>
    <col min="9997" max="9997" width="23.69140625" style="779" customWidth="1"/>
    <col min="9998" max="9998" width="2.07421875" style="779" customWidth="1"/>
    <col min="9999" max="9999" width="23.69140625" style="779" customWidth="1"/>
    <col min="10000" max="10000" width="2.69140625" style="779" bestFit="1" customWidth="1"/>
    <col min="10001" max="10239" width="8.69140625" style="779"/>
    <col min="10240" max="10241" width="8.69140625" style="779" customWidth="1"/>
    <col min="10242" max="10242" width="10.07421875" style="779" customWidth="1"/>
    <col min="10243" max="10243" width="2.07421875" style="779" customWidth="1"/>
    <col min="10244" max="10244" width="50.4609375" style="779" customWidth="1"/>
    <col min="10245" max="10245" width="8.69140625" style="779"/>
    <col min="10246" max="10246" width="2.07421875" style="779" customWidth="1"/>
    <col min="10247" max="10247" width="23.69140625" style="779" customWidth="1"/>
    <col min="10248" max="10248" width="2.07421875" style="779" customWidth="1"/>
    <col min="10249" max="10249" width="23.69140625" style="779" customWidth="1"/>
    <col min="10250" max="10250" width="2.07421875" style="779" customWidth="1"/>
    <col min="10251" max="10251" width="23.69140625" style="779" customWidth="1"/>
    <col min="10252" max="10252" width="2.07421875" style="779" customWidth="1"/>
    <col min="10253" max="10253" width="23.69140625" style="779" customWidth="1"/>
    <col min="10254" max="10254" width="2.07421875" style="779" customWidth="1"/>
    <col min="10255" max="10255" width="23.69140625" style="779" customWidth="1"/>
    <col min="10256" max="10256" width="2.69140625" style="779" bestFit="1" customWidth="1"/>
    <col min="10257" max="10495" width="8.69140625" style="779"/>
    <col min="10496" max="10497" width="8.69140625" style="779" customWidth="1"/>
    <col min="10498" max="10498" width="10.07421875" style="779" customWidth="1"/>
    <col min="10499" max="10499" width="2.07421875" style="779" customWidth="1"/>
    <col min="10500" max="10500" width="50.4609375" style="779" customWidth="1"/>
    <col min="10501" max="10501" width="8.69140625" style="779"/>
    <col min="10502" max="10502" width="2.07421875" style="779" customWidth="1"/>
    <col min="10503" max="10503" width="23.69140625" style="779" customWidth="1"/>
    <col min="10504" max="10504" width="2.07421875" style="779" customWidth="1"/>
    <col min="10505" max="10505" width="23.69140625" style="779" customWidth="1"/>
    <col min="10506" max="10506" width="2.07421875" style="779" customWidth="1"/>
    <col min="10507" max="10507" width="23.69140625" style="779" customWidth="1"/>
    <col min="10508" max="10508" width="2.07421875" style="779" customWidth="1"/>
    <col min="10509" max="10509" width="23.69140625" style="779" customWidth="1"/>
    <col min="10510" max="10510" width="2.07421875" style="779" customWidth="1"/>
    <col min="10511" max="10511" width="23.69140625" style="779" customWidth="1"/>
    <col min="10512" max="10512" width="2.69140625" style="779" bestFit="1" customWidth="1"/>
    <col min="10513" max="10751" width="8.69140625" style="779"/>
    <col min="10752" max="10753" width="8.69140625" style="779" customWidth="1"/>
    <col min="10754" max="10754" width="10.07421875" style="779" customWidth="1"/>
    <col min="10755" max="10755" width="2.07421875" style="779" customWidth="1"/>
    <col min="10756" max="10756" width="50.4609375" style="779" customWidth="1"/>
    <col min="10757" max="10757" width="8.69140625" style="779"/>
    <col min="10758" max="10758" width="2.07421875" style="779" customWidth="1"/>
    <col min="10759" max="10759" width="23.69140625" style="779" customWidth="1"/>
    <col min="10760" max="10760" width="2.07421875" style="779" customWidth="1"/>
    <col min="10761" max="10761" width="23.69140625" style="779" customWidth="1"/>
    <col min="10762" max="10762" width="2.07421875" style="779" customWidth="1"/>
    <col min="10763" max="10763" width="23.69140625" style="779" customWidth="1"/>
    <col min="10764" max="10764" width="2.07421875" style="779" customWidth="1"/>
    <col min="10765" max="10765" width="23.69140625" style="779" customWidth="1"/>
    <col min="10766" max="10766" width="2.07421875" style="779" customWidth="1"/>
    <col min="10767" max="10767" width="23.69140625" style="779" customWidth="1"/>
    <col min="10768" max="10768" width="2.69140625" style="779" bestFit="1" customWidth="1"/>
    <col min="10769" max="11007" width="8.69140625" style="779"/>
    <col min="11008" max="11009" width="8.69140625" style="779" customWidth="1"/>
    <col min="11010" max="11010" width="10.07421875" style="779" customWidth="1"/>
    <col min="11011" max="11011" width="2.07421875" style="779" customWidth="1"/>
    <col min="11012" max="11012" width="50.4609375" style="779" customWidth="1"/>
    <col min="11013" max="11013" width="8.69140625" style="779"/>
    <col min="11014" max="11014" width="2.07421875" style="779" customWidth="1"/>
    <col min="11015" max="11015" width="23.69140625" style="779" customWidth="1"/>
    <col min="11016" max="11016" width="2.07421875" style="779" customWidth="1"/>
    <col min="11017" max="11017" width="23.69140625" style="779" customWidth="1"/>
    <col min="11018" max="11018" width="2.07421875" style="779" customWidth="1"/>
    <col min="11019" max="11019" width="23.69140625" style="779" customWidth="1"/>
    <col min="11020" max="11020" width="2.07421875" style="779" customWidth="1"/>
    <col min="11021" max="11021" width="23.69140625" style="779" customWidth="1"/>
    <col min="11022" max="11022" width="2.07421875" style="779" customWidth="1"/>
    <col min="11023" max="11023" width="23.69140625" style="779" customWidth="1"/>
    <col min="11024" max="11024" width="2.69140625" style="779" bestFit="1" customWidth="1"/>
    <col min="11025" max="11263" width="8.69140625" style="779"/>
    <col min="11264" max="11265" width="8.69140625" style="779" customWidth="1"/>
    <col min="11266" max="11266" width="10.07421875" style="779" customWidth="1"/>
    <col min="11267" max="11267" width="2.07421875" style="779" customWidth="1"/>
    <col min="11268" max="11268" width="50.4609375" style="779" customWidth="1"/>
    <col min="11269" max="11269" width="8.69140625" style="779"/>
    <col min="11270" max="11270" width="2.07421875" style="779" customWidth="1"/>
    <col min="11271" max="11271" width="23.69140625" style="779" customWidth="1"/>
    <col min="11272" max="11272" width="2.07421875" style="779" customWidth="1"/>
    <col min="11273" max="11273" width="23.69140625" style="779" customWidth="1"/>
    <col min="11274" max="11274" width="2.07421875" style="779" customWidth="1"/>
    <col min="11275" max="11275" width="23.69140625" style="779" customWidth="1"/>
    <col min="11276" max="11276" width="2.07421875" style="779" customWidth="1"/>
    <col min="11277" max="11277" width="23.69140625" style="779" customWidth="1"/>
    <col min="11278" max="11278" width="2.07421875" style="779" customWidth="1"/>
    <col min="11279" max="11279" width="23.69140625" style="779" customWidth="1"/>
    <col min="11280" max="11280" width="2.69140625" style="779" bestFit="1" customWidth="1"/>
    <col min="11281" max="11519" width="8.69140625" style="779"/>
    <col min="11520" max="11521" width="8.69140625" style="779" customWidth="1"/>
    <col min="11522" max="11522" width="10.07421875" style="779" customWidth="1"/>
    <col min="11523" max="11523" width="2.07421875" style="779" customWidth="1"/>
    <col min="11524" max="11524" width="50.4609375" style="779" customWidth="1"/>
    <col min="11525" max="11525" width="8.69140625" style="779"/>
    <col min="11526" max="11526" width="2.07421875" style="779" customWidth="1"/>
    <col min="11527" max="11527" width="23.69140625" style="779" customWidth="1"/>
    <col min="11528" max="11528" width="2.07421875" style="779" customWidth="1"/>
    <col min="11529" max="11529" width="23.69140625" style="779" customWidth="1"/>
    <col min="11530" max="11530" width="2.07421875" style="779" customWidth="1"/>
    <col min="11531" max="11531" width="23.69140625" style="779" customWidth="1"/>
    <col min="11532" max="11532" width="2.07421875" style="779" customWidth="1"/>
    <col min="11533" max="11533" width="23.69140625" style="779" customWidth="1"/>
    <col min="11534" max="11534" width="2.07421875" style="779" customWidth="1"/>
    <col min="11535" max="11535" width="23.69140625" style="779" customWidth="1"/>
    <col min="11536" max="11536" width="2.69140625" style="779" bestFit="1" customWidth="1"/>
    <col min="11537" max="11775" width="8.69140625" style="779"/>
    <col min="11776" max="11777" width="8.69140625" style="779" customWidth="1"/>
    <col min="11778" max="11778" width="10.07421875" style="779" customWidth="1"/>
    <col min="11779" max="11779" width="2.07421875" style="779" customWidth="1"/>
    <col min="11780" max="11780" width="50.4609375" style="779" customWidth="1"/>
    <col min="11781" max="11781" width="8.69140625" style="779"/>
    <col min="11782" max="11782" width="2.07421875" style="779" customWidth="1"/>
    <col min="11783" max="11783" width="23.69140625" style="779" customWidth="1"/>
    <col min="11784" max="11784" width="2.07421875" style="779" customWidth="1"/>
    <col min="11785" max="11785" width="23.69140625" style="779" customWidth="1"/>
    <col min="11786" max="11786" width="2.07421875" style="779" customWidth="1"/>
    <col min="11787" max="11787" width="23.69140625" style="779" customWidth="1"/>
    <col min="11788" max="11788" width="2.07421875" style="779" customWidth="1"/>
    <col min="11789" max="11789" width="23.69140625" style="779" customWidth="1"/>
    <col min="11790" max="11790" width="2.07421875" style="779" customWidth="1"/>
    <col min="11791" max="11791" width="23.69140625" style="779" customWidth="1"/>
    <col min="11792" max="11792" width="2.69140625" style="779" bestFit="1" customWidth="1"/>
    <col min="11793" max="12031" width="8.69140625" style="779"/>
    <col min="12032" max="12033" width="8.69140625" style="779" customWidth="1"/>
    <col min="12034" max="12034" width="10.07421875" style="779" customWidth="1"/>
    <col min="12035" max="12035" width="2.07421875" style="779" customWidth="1"/>
    <col min="12036" max="12036" width="50.4609375" style="779" customWidth="1"/>
    <col min="12037" max="12037" width="8.69140625" style="779"/>
    <col min="12038" max="12038" width="2.07421875" style="779" customWidth="1"/>
    <col min="12039" max="12039" width="23.69140625" style="779" customWidth="1"/>
    <col min="12040" max="12040" width="2.07421875" style="779" customWidth="1"/>
    <col min="12041" max="12041" width="23.69140625" style="779" customWidth="1"/>
    <col min="12042" max="12042" width="2.07421875" style="779" customWidth="1"/>
    <col min="12043" max="12043" width="23.69140625" style="779" customWidth="1"/>
    <col min="12044" max="12044" width="2.07421875" style="779" customWidth="1"/>
    <col min="12045" max="12045" width="23.69140625" style="779" customWidth="1"/>
    <col min="12046" max="12046" width="2.07421875" style="779" customWidth="1"/>
    <col min="12047" max="12047" width="23.69140625" style="779" customWidth="1"/>
    <col min="12048" max="12048" width="2.69140625" style="779" bestFit="1" customWidth="1"/>
    <col min="12049" max="12287" width="8.69140625" style="779"/>
    <col min="12288" max="12289" width="8.69140625" style="779" customWidth="1"/>
    <col min="12290" max="12290" width="10.07421875" style="779" customWidth="1"/>
    <col min="12291" max="12291" width="2.07421875" style="779" customWidth="1"/>
    <col min="12292" max="12292" width="50.4609375" style="779" customWidth="1"/>
    <col min="12293" max="12293" width="8.69140625" style="779"/>
    <col min="12294" max="12294" width="2.07421875" style="779" customWidth="1"/>
    <col min="12295" max="12295" width="23.69140625" style="779" customWidth="1"/>
    <col min="12296" max="12296" width="2.07421875" style="779" customWidth="1"/>
    <col min="12297" max="12297" width="23.69140625" style="779" customWidth="1"/>
    <col min="12298" max="12298" width="2.07421875" style="779" customWidth="1"/>
    <col min="12299" max="12299" width="23.69140625" style="779" customWidth="1"/>
    <col min="12300" max="12300" width="2.07421875" style="779" customWidth="1"/>
    <col min="12301" max="12301" width="23.69140625" style="779" customWidth="1"/>
    <col min="12302" max="12302" width="2.07421875" style="779" customWidth="1"/>
    <col min="12303" max="12303" width="23.69140625" style="779" customWidth="1"/>
    <col min="12304" max="12304" width="2.69140625" style="779" bestFit="1" customWidth="1"/>
    <col min="12305" max="12543" width="8.69140625" style="779"/>
    <col min="12544" max="12545" width="8.69140625" style="779" customWidth="1"/>
    <col min="12546" max="12546" width="10.07421875" style="779" customWidth="1"/>
    <col min="12547" max="12547" width="2.07421875" style="779" customWidth="1"/>
    <col min="12548" max="12548" width="50.4609375" style="779" customWidth="1"/>
    <col min="12549" max="12549" width="8.69140625" style="779"/>
    <col min="12550" max="12550" width="2.07421875" style="779" customWidth="1"/>
    <col min="12551" max="12551" width="23.69140625" style="779" customWidth="1"/>
    <col min="12552" max="12552" width="2.07421875" style="779" customWidth="1"/>
    <col min="12553" max="12553" width="23.69140625" style="779" customWidth="1"/>
    <col min="12554" max="12554" width="2.07421875" style="779" customWidth="1"/>
    <col min="12555" max="12555" width="23.69140625" style="779" customWidth="1"/>
    <col min="12556" max="12556" width="2.07421875" style="779" customWidth="1"/>
    <col min="12557" max="12557" width="23.69140625" style="779" customWidth="1"/>
    <col min="12558" max="12558" width="2.07421875" style="779" customWidth="1"/>
    <col min="12559" max="12559" width="23.69140625" style="779" customWidth="1"/>
    <col min="12560" max="12560" width="2.69140625" style="779" bestFit="1" customWidth="1"/>
    <col min="12561" max="12799" width="8.69140625" style="779"/>
    <col min="12800" max="12801" width="8.69140625" style="779" customWidth="1"/>
    <col min="12802" max="12802" width="10.07421875" style="779" customWidth="1"/>
    <col min="12803" max="12803" width="2.07421875" style="779" customWidth="1"/>
    <col min="12804" max="12804" width="50.4609375" style="779" customWidth="1"/>
    <col min="12805" max="12805" width="8.69140625" style="779"/>
    <col min="12806" max="12806" width="2.07421875" style="779" customWidth="1"/>
    <col min="12807" max="12807" width="23.69140625" style="779" customWidth="1"/>
    <col min="12808" max="12808" width="2.07421875" style="779" customWidth="1"/>
    <col min="12809" max="12809" width="23.69140625" style="779" customWidth="1"/>
    <col min="12810" max="12810" width="2.07421875" style="779" customWidth="1"/>
    <col min="12811" max="12811" width="23.69140625" style="779" customWidth="1"/>
    <col min="12812" max="12812" width="2.07421875" style="779" customWidth="1"/>
    <col min="12813" max="12813" width="23.69140625" style="779" customWidth="1"/>
    <col min="12814" max="12814" width="2.07421875" style="779" customWidth="1"/>
    <col min="12815" max="12815" width="23.69140625" style="779" customWidth="1"/>
    <col min="12816" max="12816" width="2.69140625" style="779" bestFit="1" customWidth="1"/>
    <col min="12817" max="13055" width="8.69140625" style="779"/>
    <col min="13056" max="13057" width="8.69140625" style="779" customWidth="1"/>
    <col min="13058" max="13058" width="10.07421875" style="779" customWidth="1"/>
    <col min="13059" max="13059" width="2.07421875" style="779" customWidth="1"/>
    <col min="13060" max="13060" width="50.4609375" style="779" customWidth="1"/>
    <col min="13061" max="13061" width="8.69140625" style="779"/>
    <col min="13062" max="13062" width="2.07421875" style="779" customWidth="1"/>
    <col min="13063" max="13063" width="23.69140625" style="779" customWidth="1"/>
    <col min="13064" max="13064" width="2.07421875" style="779" customWidth="1"/>
    <col min="13065" max="13065" width="23.69140625" style="779" customWidth="1"/>
    <col min="13066" max="13066" width="2.07421875" style="779" customWidth="1"/>
    <col min="13067" max="13067" width="23.69140625" style="779" customWidth="1"/>
    <col min="13068" max="13068" width="2.07421875" style="779" customWidth="1"/>
    <col min="13069" max="13069" width="23.69140625" style="779" customWidth="1"/>
    <col min="13070" max="13070" width="2.07421875" style="779" customWidth="1"/>
    <col min="13071" max="13071" width="23.69140625" style="779" customWidth="1"/>
    <col min="13072" max="13072" width="2.69140625" style="779" bestFit="1" customWidth="1"/>
    <col min="13073" max="13311" width="8.69140625" style="779"/>
    <col min="13312" max="13313" width="8.69140625" style="779" customWidth="1"/>
    <col min="13314" max="13314" width="10.07421875" style="779" customWidth="1"/>
    <col min="13315" max="13315" width="2.07421875" style="779" customWidth="1"/>
    <col min="13316" max="13316" width="50.4609375" style="779" customWidth="1"/>
    <col min="13317" max="13317" width="8.69140625" style="779"/>
    <col min="13318" max="13318" width="2.07421875" style="779" customWidth="1"/>
    <col min="13319" max="13319" width="23.69140625" style="779" customWidth="1"/>
    <col min="13320" max="13320" width="2.07421875" style="779" customWidth="1"/>
    <col min="13321" max="13321" width="23.69140625" style="779" customWidth="1"/>
    <col min="13322" max="13322" width="2.07421875" style="779" customWidth="1"/>
    <col min="13323" max="13323" width="23.69140625" style="779" customWidth="1"/>
    <col min="13324" max="13324" width="2.07421875" style="779" customWidth="1"/>
    <col min="13325" max="13325" width="23.69140625" style="779" customWidth="1"/>
    <col min="13326" max="13326" width="2.07421875" style="779" customWidth="1"/>
    <col min="13327" max="13327" width="23.69140625" style="779" customWidth="1"/>
    <col min="13328" max="13328" width="2.69140625" style="779" bestFit="1" customWidth="1"/>
    <col min="13329" max="13567" width="8.69140625" style="779"/>
    <col min="13568" max="13569" width="8.69140625" style="779" customWidth="1"/>
    <col min="13570" max="13570" width="10.07421875" style="779" customWidth="1"/>
    <col min="13571" max="13571" width="2.07421875" style="779" customWidth="1"/>
    <col min="13572" max="13572" width="50.4609375" style="779" customWidth="1"/>
    <col min="13573" max="13573" width="8.69140625" style="779"/>
    <col min="13574" max="13574" width="2.07421875" style="779" customWidth="1"/>
    <col min="13575" max="13575" width="23.69140625" style="779" customWidth="1"/>
    <col min="13576" max="13576" width="2.07421875" style="779" customWidth="1"/>
    <col min="13577" max="13577" width="23.69140625" style="779" customWidth="1"/>
    <col min="13578" max="13578" width="2.07421875" style="779" customWidth="1"/>
    <col min="13579" max="13579" width="23.69140625" style="779" customWidth="1"/>
    <col min="13580" max="13580" width="2.07421875" style="779" customWidth="1"/>
    <col min="13581" max="13581" width="23.69140625" style="779" customWidth="1"/>
    <col min="13582" max="13582" width="2.07421875" style="779" customWidth="1"/>
    <col min="13583" max="13583" width="23.69140625" style="779" customWidth="1"/>
    <col min="13584" max="13584" width="2.69140625" style="779" bestFit="1" customWidth="1"/>
    <col min="13585" max="13823" width="8.69140625" style="779"/>
    <col min="13824" max="13825" width="8.69140625" style="779" customWidth="1"/>
    <col min="13826" max="13826" width="10.07421875" style="779" customWidth="1"/>
    <col min="13827" max="13827" width="2.07421875" style="779" customWidth="1"/>
    <col min="13828" max="13828" width="50.4609375" style="779" customWidth="1"/>
    <col min="13829" max="13829" width="8.69140625" style="779"/>
    <col min="13830" max="13830" width="2.07421875" style="779" customWidth="1"/>
    <col min="13831" max="13831" width="23.69140625" style="779" customWidth="1"/>
    <col min="13832" max="13832" width="2.07421875" style="779" customWidth="1"/>
    <col min="13833" max="13833" width="23.69140625" style="779" customWidth="1"/>
    <col min="13834" max="13834" width="2.07421875" style="779" customWidth="1"/>
    <col min="13835" max="13835" width="23.69140625" style="779" customWidth="1"/>
    <col min="13836" max="13836" width="2.07421875" style="779" customWidth="1"/>
    <col min="13837" max="13837" width="23.69140625" style="779" customWidth="1"/>
    <col min="13838" max="13838" width="2.07421875" style="779" customWidth="1"/>
    <col min="13839" max="13839" width="23.69140625" style="779" customWidth="1"/>
    <col min="13840" max="13840" width="2.69140625" style="779" bestFit="1" customWidth="1"/>
    <col min="13841" max="14079" width="8.69140625" style="779"/>
    <col min="14080" max="14081" width="8.69140625" style="779" customWidth="1"/>
    <col min="14082" max="14082" width="10.07421875" style="779" customWidth="1"/>
    <col min="14083" max="14083" width="2.07421875" style="779" customWidth="1"/>
    <col min="14084" max="14084" width="50.4609375" style="779" customWidth="1"/>
    <col min="14085" max="14085" width="8.69140625" style="779"/>
    <col min="14086" max="14086" width="2.07421875" style="779" customWidth="1"/>
    <col min="14087" max="14087" width="23.69140625" style="779" customWidth="1"/>
    <col min="14088" max="14088" width="2.07421875" style="779" customWidth="1"/>
    <col min="14089" max="14089" width="23.69140625" style="779" customWidth="1"/>
    <col min="14090" max="14090" width="2.07421875" style="779" customWidth="1"/>
    <col min="14091" max="14091" width="23.69140625" style="779" customWidth="1"/>
    <col min="14092" max="14092" width="2.07421875" style="779" customWidth="1"/>
    <col min="14093" max="14093" width="23.69140625" style="779" customWidth="1"/>
    <col min="14094" max="14094" width="2.07421875" style="779" customWidth="1"/>
    <col min="14095" max="14095" width="23.69140625" style="779" customWidth="1"/>
    <col min="14096" max="14096" width="2.69140625" style="779" bestFit="1" customWidth="1"/>
    <col min="14097" max="14335" width="8.69140625" style="779"/>
    <col min="14336" max="14337" width="8.69140625" style="779" customWidth="1"/>
    <col min="14338" max="14338" width="10.07421875" style="779" customWidth="1"/>
    <col min="14339" max="14339" width="2.07421875" style="779" customWidth="1"/>
    <col min="14340" max="14340" width="50.4609375" style="779" customWidth="1"/>
    <col min="14341" max="14341" width="8.69140625" style="779"/>
    <col min="14342" max="14342" width="2.07421875" style="779" customWidth="1"/>
    <col min="14343" max="14343" width="23.69140625" style="779" customWidth="1"/>
    <col min="14344" max="14344" width="2.07421875" style="779" customWidth="1"/>
    <col min="14345" max="14345" width="23.69140625" style="779" customWidth="1"/>
    <col min="14346" max="14346" width="2.07421875" style="779" customWidth="1"/>
    <col min="14347" max="14347" width="23.69140625" style="779" customWidth="1"/>
    <col min="14348" max="14348" width="2.07421875" style="779" customWidth="1"/>
    <col min="14349" max="14349" width="23.69140625" style="779" customWidth="1"/>
    <col min="14350" max="14350" width="2.07421875" style="779" customWidth="1"/>
    <col min="14351" max="14351" width="23.69140625" style="779" customWidth="1"/>
    <col min="14352" max="14352" width="2.69140625" style="779" bestFit="1" customWidth="1"/>
    <col min="14353" max="14591" width="8.69140625" style="779"/>
    <col min="14592" max="14593" width="8.69140625" style="779" customWidth="1"/>
    <col min="14594" max="14594" width="10.07421875" style="779" customWidth="1"/>
    <col min="14595" max="14595" width="2.07421875" style="779" customWidth="1"/>
    <col min="14596" max="14596" width="50.4609375" style="779" customWidth="1"/>
    <col min="14597" max="14597" width="8.69140625" style="779"/>
    <col min="14598" max="14598" width="2.07421875" style="779" customWidth="1"/>
    <col min="14599" max="14599" width="23.69140625" style="779" customWidth="1"/>
    <col min="14600" max="14600" width="2.07421875" style="779" customWidth="1"/>
    <col min="14601" max="14601" width="23.69140625" style="779" customWidth="1"/>
    <col min="14602" max="14602" width="2.07421875" style="779" customWidth="1"/>
    <col min="14603" max="14603" width="23.69140625" style="779" customWidth="1"/>
    <col min="14604" max="14604" width="2.07421875" style="779" customWidth="1"/>
    <col min="14605" max="14605" width="23.69140625" style="779" customWidth="1"/>
    <col min="14606" max="14606" width="2.07421875" style="779" customWidth="1"/>
    <col min="14607" max="14607" width="23.69140625" style="779" customWidth="1"/>
    <col min="14608" max="14608" width="2.69140625" style="779" bestFit="1" customWidth="1"/>
    <col min="14609" max="14847" width="8.69140625" style="779"/>
    <col min="14848" max="14849" width="8.69140625" style="779" customWidth="1"/>
    <col min="14850" max="14850" width="10.07421875" style="779" customWidth="1"/>
    <col min="14851" max="14851" width="2.07421875" style="779" customWidth="1"/>
    <col min="14852" max="14852" width="50.4609375" style="779" customWidth="1"/>
    <col min="14853" max="14853" width="8.69140625" style="779"/>
    <col min="14854" max="14854" width="2.07421875" style="779" customWidth="1"/>
    <col min="14855" max="14855" width="23.69140625" style="779" customWidth="1"/>
    <col min="14856" max="14856" width="2.07421875" style="779" customWidth="1"/>
    <col min="14857" max="14857" width="23.69140625" style="779" customWidth="1"/>
    <col min="14858" max="14858" width="2.07421875" style="779" customWidth="1"/>
    <col min="14859" max="14859" width="23.69140625" style="779" customWidth="1"/>
    <col min="14860" max="14860" width="2.07421875" style="779" customWidth="1"/>
    <col min="14861" max="14861" width="23.69140625" style="779" customWidth="1"/>
    <col min="14862" max="14862" width="2.07421875" style="779" customWidth="1"/>
    <col min="14863" max="14863" width="23.69140625" style="779" customWidth="1"/>
    <col min="14864" max="14864" width="2.69140625" style="779" bestFit="1" customWidth="1"/>
    <col min="14865" max="15103" width="8.69140625" style="779"/>
    <col min="15104" max="15105" width="8.69140625" style="779" customWidth="1"/>
    <col min="15106" max="15106" width="10.07421875" style="779" customWidth="1"/>
    <col min="15107" max="15107" width="2.07421875" style="779" customWidth="1"/>
    <col min="15108" max="15108" width="50.4609375" style="779" customWidth="1"/>
    <col min="15109" max="15109" width="8.69140625" style="779"/>
    <col min="15110" max="15110" width="2.07421875" style="779" customWidth="1"/>
    <col min="15111" max="15111" width="23.69140625" style="779" customWidth="1"/>
    <col min="15112" max="15112" width="2.07421875" style="779" customWidth="1"/>
    <col min="15113" max="15113" width="23.69140625" style="779" customWidth="1"/>
    <col min="15114" max="15114" width="2.07421875" style="779" customWidth="1"/>
    <col min="15115" max="15115" width="23.69140625" style="779" customWidth="1"/>
    <col min="15116" max="15116" width="2.07421875" style="779" customWidth="1"/>
    <col min="15117" max="15117" width="23.69140625" style="779" customWidth="1"/>
    <col min="15118" max="15118" width="2.07421875" style="779" customWidth="1"/>
    <col min="15119" max="15119" width="23.69140625" style="779" customWidth="1"/>
    <col min="15120" max="15120" width="2.69140625" style="779" bestFit="1" customWidth="1"/>
    <col min="15121" max="15359" width="8.69140625" style="779"/>
    <col min="15360" max="15361" width="8.69140625" style="779" customWidth="1"/>
    <col min="15362" max="15362" width="10.07421875" style="779" customWidth="1"/>
    <col min="15363" max="15363" width="2.07421875" style="779" customWidth="1"/>
    <col min="15364" max="15364" width="50.4609375" style="779" customWidth="1"/>
    <col min="15365" max="15365" width="8.69140625" style="779"/>
    <col min="15366" max="15366" width="2.07421875" style="779" customWidth="1"/>
    <col min="15367" max="15367" width="23.69140625" style="779" customWidth="1"/>
    <col min="15368" max="15368" width="2.07421875" style="779" customWidth="1"/>
    <col min="15369" max="15369" width="23.69140625" style="779" customWidth="1"/>
    <col min="15370" max="15370" width="2.07421875" style="779" customWidth="1"/>
    <col min="15371" max="15371" width="23.69140625" style="779" customWidth="1"/>
    <col min="15372" max="15372" width="2.07421875" style="779" customWidth="1"/>
    <col min="15373" max="15373" width="23.69140625" style="779" customWidth="1"/>
    <col min="15374" max="15374" width="2.07421875" style="779" customWidth="1"/>
    <col min="15375" max="15375" width="23.69140625" style="779" customWidth="1"/>
    <col min="15376" max="15376" width="2.69140625" style="779" bestFit="1" customWidth="1"/>
    <col min="15377" max="15615" width="8.69140625" style="779"/>
    <col min="15616" max="15617" width="8.69140625" style="779" customWidth="1"/>
    <col min="15618" max="15618" width="10.07421875" style="779" customWidth="1"/>
    <col min="15619" max="15619" width="2.07421875" style="779" customWidth="1"/>
    <col min="15620" max="15620" width="50.4609375" style="779" customWidth="1"/>
    <col min="15621" max="15621" width="8.69140625" style="779"/>
    <col min="15622" max="15622" width="2.07421875" style="779" customWidth="1"/>
    <col min="15623" max="15623" width="23.69140625" style="779" customWidth="1"/>
    <col min="15624" max="15624" width="2.07421875" style="779" customWidth="1"/>
    <col min="15625" max="15625" width="23.69140625" style="779" customWidth="1"/>
    <col min="15626" max="15626" width="2.07421875" style="779" customWidth="1"/>
    <col min="15627" max="15627" width="23.69140625" style="779" customWidth="1"/>
    <col min="15628" max="15628" width="2.07421875" style="779" customWidth="1"/>
    <col min="15629" max="15629" width="23.69140625" style="779" customWidth="1"/>
    <col min="15630" max="15630" width="2.07421875" style="779" customWidth="1"/>
    <col min="15631" max="15631" width="23.69140625" style="779" customWidth="1"/>
    <col min="15632" max="15632" width="2.69140625" style="779" bestFit="1" customWidth="1"/>
    <col min="15633" max="15871" width="8.69140625" style="779"/>
    <col min="15872" max="15873" width="8.69140625" style="779" customWidth="1"/>
    <col min="15874" max="15874" width="10.07421875" style="779" customWidth="1"/>
    <col min="15875" max="15875" width="2.07421875" style="779" customWidth="1"/>
    <col min="15876" max="15876" width="50.4609375" style="779" customWidth="1"/>
    <col min="15877" max="15877" width="8.69140625" style="779"/>
    <col min="15878" max="15878" width="2.07421875" style="779" customWidth="1"/>
    <col min="15879" max="15879" width="23.69140625" style="779" customWidth="1"/>
    <col min="15880" max="15880" width="2.07421875" style="779" customWidth="1"/>
    <col min="15881" max="15881" width="23.69140625" style="779" customWidth="1"/>
    <col min="15882" max="15882" width="2.07421875" style="779" customWidth="1"/>
    <col min="15883" max="15883" width="23.69140625" style="779" customWidth="1"/>
    <col min="15884" max="15884" width="2.07421875" style="779" customWidth="1"/>
    <col min="15885" max="15885" width="23.69140625" style="779" customWidth="1"/>
    <col min="15886" max="15886" width="2.07421875" style="779" customWidth="1"/>
    <col min="15887" max="15887" width="23.69140625" style="779" customWidth="1"/>
    <col min="15888" max="15888" width="2.69140625" style="779" bestFit="1" customWidth="1"/>
    <col min="15889" max="16127" width="8.69140625" style="779"/>
    <col min="16128" max="16129" width="8.69140625" style="779" customWidth="1"/>
    <col min="16130" max="16130" width="10.07421875" style="779" customWidth="1"/>
    <col min="16131" max="16131" width="2.07421875" style="779" customWidth="1"/>
    <col min="16132" max="16132" width="50.4609375" style="779" customWidth="1"/>
    <col min="16133" max="16133" width="8.69140625" style="779"/>
    <col min="16134" max="16134" width="2.07421875" style="779" customWidth="1"/>
    <col min="16135" max="16135" width="23.69140625" style="779" customWidth="1"/>
    <col min="16136" max="16136" width="2.07421875" style="779" customWidth="1"/>
    <col min="16137" max="16137" width="23.69140625" style="779" customWidth="1"/>
    <col min="16138" max="16138" width="2.07421875" style="779" customWidth="1"/>
    <col min="16139" max="16139" width="23.69140625" style="779" customWidth="1"/>
    <col min="16140" max="16140" width="2.07421875" style="779" customWidth="1"/>
    <col min="16141" max="16141" width="23.69140625" style="779" customWidth="1"/>
    <col min="16142" max="16142" width="2.07421875" style="779" customWidth="1"/>
    <col min="16143" max="16143" width="23.69140625" style="779" customWidth="1"/>
    <col min="16144" max="16144" width="2.69140625" style="779" bestFit="1" customWidth="1"/>
    <col min="16145" max="16384" width="8.69140625" style="779"/>
  </cols>
  <sheetData>
    <row r="1" spans="2:31" ht="15.5">
      <c r="B1" s="444"/>
      <c r="C1" s="444"/>
      <c r="D1" s="294" t="s">
        <v>97</v>
      </c>
      <c r="E1" s="444"/>
      <c r="F1" s="778"/>
      <c r="G1" s="444"/>
      <c r="H1" s="444"/>
      <c r="I1" s="444"/>
      <c r="J1" s="444"/>
      <c r="K1" s="444"/>
      <c r="L1" s="444"/>
      <c r="M1" s="444"/>
      <c r="N1" s="444"/>
      <c r="O1" s="1121"/>
      <c r="P1" s="780"/>
      <c r="Q1" s="1121"/>
      <c r="R1" s="1121"/>
      <c r="S1" s="1121"/>
      <c r="T1" s="1121"/>
      <c r="U1" s="1121"/>
      <c r="V1" s="1121"/>
      <c r="W1" s="1121"/>
      <c r="X1" s="1121"/>
      <c r="Y1" s="1121"/>
      <c r="Z1" s="1121"/>
      <c r="AA1" s="1121"/>
      <c r="AB1" s="1121"/>
      <c r="AC1" s="1121"/>
      <c r="AD1" s="1121"/>
      <c r="AE1" s="1121"/>
    </row>
    <row r="2" spans="2:31" ht="15.5">
      <c r="B2" s="444"/>
      <c r="C2" s="444"/>
      <c r="D2" s="444"/>
      <c r="E2" s="444"/>
      <c r="F2" s="778"/>
      <c r="G2" s="444"/>
      <c r="H2" s="444"/>
      <c r="I2" s="444"/>
      <c r="J2" s="444"/>
      <c r="K2" s="444"/>
      <c r="L2" s="444"/>
      <c r="M2" s="444"/>
      <c r="N2" s="444"/>
      <c r="O2" s="1371" t="s">
        <v>1085</v>
      </c>
      <c r="P2" s="780"/>
      <c r="Q2" s="1121"/>
      <c r="R2" s="1121"/>
      <c r="S2" s="1121"/>
      <c r="T2" s="1121"/>
      <c r="U2" s="1121"/>
      <c r="V2" s="1121"/>
      <c r="W2" s="1121"/>
      <c r="X2" s="1121"/>
      <c r="Y2" s="1121"/>
      <c r="Z2" s="1121"/>
      <c r="AA2" s="1121"/>
      <c r="AB2" s="1121"/>
      <c r="AC2" s="1121"/>
      <c r="AD2" s="1121"/>
      <c r="AE2" s="1121"/>
    </row>
    <row r="3" spans="2:31" ht="15.5">
      <c r="B3" s="444"/>
      <c r="C3" s="444"/>
      <c r="D3" s="444"/>
      <c r="E3" s="444"/>
      <c r="F3" s="778"/>
      <c r="G3" s="444"/>
      <c r="H3" s="444"/>
      <c r="I3" s="444"/>
      <c r="J3" s="444"/>
      <c r="K3" s="444"/>
      <c r="L3" s="444"/>
      <c r="M3" s="444"/>
      <c r="N3" s="444"/>
      <c r="O3" s="1372"/>
      <c r="P3" s="1211"/>
      <c r="Q3" s="1121"/>
      <c r="R3" s="1121"/>
      <c r="S3" s="1121"/>
      <c r="T3" s="1121"/>
      <c r="U3" s="1121"/>
      <c r="V3" s="1121"/>
      <c r="W3" s="1121"/>
      <c r="X3" s="1121"/>
      <c r="Y3" s="1121"/>
      <c r="Z3" s="1121"/>
      <c r="AA3" s="1121"/>
      <c r="AB3" s="1121"/>
      <c r="AC3" s="1121"/>
      <c r="AD3" s="1121"/>
      <c r="AE3" s="1121"/>
    </row>
    <row r="4" spans="2:31" ht="18">
      <c r="B4" s="781"/>
      <c r="C4" s="782"/>
      <c r="D4" s="783" t="s">
        <v>98</v>
      </c>
      <c r="E4" s="782"/>
      <c r="F4" s="782"/>
      <c r="G4"/>
      <c r="H4"/>
      <c r="I4"/>
      <c r="J4"/>
      <c r="K4"/>
      <c r="L4"/>
      <c r="M4" s="1212"/>
      <c r="N4" s="1212"/>
      <c r="O4" s="1212"/>
      <c r="P4" s="1213"/>
      <c r="Q4" s="1121"/>
      <c r="R4" s="1121"/>
      <c r="S4" s="1121"/>
      <c r="T4" s="1121"/>
      <c r="U4" s="1121"/>
      <c r="V4" s="1121"/>
      <c r="W4" s="1121"/>
      <c r="X4" s="1121"/>
      <c r="Y4" s="1121"/>
      <c r="Z4" s="1121"/>
      <c r="AA4" s="1121"/>
      <c r="AB4" s="1121"/>
      <c r="AC4" s="1121"/>
      <c r="AD4" s="1121"/>
      <c r="AE4" s="1121"/>
    </row>
    <row r="5" spans="2:31" ht="18">
      <c r="B5" s="781"/>
      <c r="C5" s="782"/>
      <c r="D5" s="783" t="s">
        <v>1086</v>
      </c>
      <c r="E5" s="782"/>
      <c r="F5" s="782"/>
      <c r="G5"/>
      <c r="H5"/>
      <c r="I5"/>
      <c r="J5"/>
      <c r="K5"/>
      <c r="L5"/>
      <c r="M5" s="1214"/>
      <c r="N5" s="1214"/>
      <c r="O5" s="1214"/>
      <c r="P5" s="1215"/>
      <c r="Q5" s="1121"/>
      <c r="R5" s="1121"/>
      <c r="S5" s="1121"/>
      <c r="T5" s="1121"/>
      <c r="U5" s="1121"/>
      <c r="V5" s="1121"/>
      <c r="W5" s="1121"/>
      <c r="X5" s="1121"/>
      <c r="Y5" s="1121"/>
      <c r="Z5" s="1121"/>
      <c r="AA5" s="1121"/>
      <c r="AB5" s="1121"/>
      <c r="AC5" s="1121"/>
      <c r="AD5" s="1121"/>
      <c r="AE5" s="1121"/>
    </row>
    <row r="6" spans="2:31" ht="15.5">
      <c r="B6" s="781"/>
      <c r="C6" s="782"/>
      <c r="D6" s="784"/>
      <c r="E6" s="782"/>
      <c r="F6" s="782"/>
      <c r="G6"/>
      <c r="H6"/>
      <c r="I6"/>
      <c r="J6"/>
      <c r="K6"/>
      <c r="L6"/>
      <c r="M6" s="1216"/>
      <c r="N6" s="1216"/>
      <c r="O6" s="1216"/>
      <c r="P6" s="1217"/>
      <c r="Q6" s="1121"/>
      <c r="R6" s="1121"/>
      <c r="S6" s="1121"/>
      <c r="T6" s="1121"/>
      <c r="U6" s="1121"/>
      <c r="V6" s="1121"/>
      <c r="W6" s="1121"/>
      <c r="X6" s="1121"/>
      <c r="Y6" s="1121"/>
      <c r="Z6" s="1121"/>
      <c r="AA6" s="1121"/>
      <c r="AB6" s="1121"/>
      <c r="AC6" s="1121"/>
      <c r="AD6" s="1121"/>
      <c r="AE6" s="1121"/>
    </row>
    <row r="7" spans="2:31" ht="15.5">
      <c r="B7" s="781"/>
      <c r="C7" s="780"/>
      <c r="D7" s="780"/>
      <c r="E7" s="785"/>
      <c r="F7" s="785"/>
      <c r="G7"/>
      <c r="H7"/>
      <c r="I7"/>
      <c r="J7"/>
      <c r="K7"/>
      <c r="L7"/>
      <c r="M7" s="1218"/>
      <c r="N7" s="1218"/>
      <c r="O7" s="1218"/>
      <c r="P7" s="1219"/>
      <c r="Q7" s="1121"/>
      <c r="R7" s="1121"/>
      <c r="S7" s="1121"/>
      <c r="T7" s="1121"/>
      <c r="U7" s="1121"/>
      <c r="V7" s="1121"/>
      <c r="W7" s="1121"/>
      <c r="X7" s="1121"/>
      <c r="Y7" s="1121"/>
      <c r="Z7" s="1121"/>
      <c r="AA7" s="1121"/>
      <c r="AB7" s="1121"/>
      <c r="AC7" s="1121"/>
      <c r="AD7" s="1121"/>
      <c r="AE7" s="1121"/>
    </row>
    <row r="8" spans="2:31" s="789" customFormat="1" ht="16" thickBot="1">
      <c r="B8" s="786" t="s">
        <v>1087</v>
      </c>
      <c r="C8" s="787"/>
      <c r="D8" s="788" t="s">
        <v>1088</v>
      </c>
      <c r="E8" s="788"/>
      <c r="F8" s="788"/>
      <c r="G8" s="1277" t="s">
        <v>1554</v>
      </c>
      <c r="H8" s="1278"/>
      <c r="I8" s="1277" t="s">
        <v>1555</v>
      </c>
      <c r="J8" s="1278"/>
      <c r="K8" s="1277" t="s">
        <v>1571</v>
      </c>
      <c r="L8" s="1278"/>
      <c r="M8" s="1278" t="s">
        <v>1089</v>
      </c>
      <c r="N8" s="1279"/>
      <c r="O8" s="1277" t="s">
        <v>1580</v>
      </c>
      <c r="P8" s="1220"/>
    </row>
    <row r="9" spans="2:31" s="789" customFormat="1" ht="15.5">
      <c r="B9" s="790"/>
      <c r="C9" s="791"/>
      <c r="D9" s="792" t="s">
        <v>451</v>
      </c>
      <c r="E9" s="793"/>
      <c r="F9" s="793"/>
      <c r="G9" s="1204"/>
      <c r="H9" s="993"/>
      <c r="I9" s="1204"/>
      <c r="J9" s="993"/>
      <c r="K9" s="1204"/>
      <c r="L9" s="993"/>
      <c r="M9" s="1204"/>
      <c r="N9" s="1204"/>
      <c r="O9" s="1204"/>
      <c r="P9" s="794"/>
    </row>
    <row r="10" spans="2:31" s="789" customFormat="1" ht="15.5">
      <c r="B10" s="795">
        <v>10050</v>
      </c>
      <c r="C10" s="790"/>
      <c r="D10" s="796" t="s">
        <v>1090</v>
      </c>
      <c r="E10"/>
      <c r="F10" s="797"/>
      <c r="G10" s="1739">
        <v>0</v>
      </c>
      <c r="H10" s="1739"/>
      <c r="I10" s="1739">
        <v>0</v>
      </c>
      <c r="J10" s="1739"/>
      <c r="K10" s="1739">
        <v>0</v>
      </c>
      <c r="L10" s="1739"/>
      <c r="M10" s="1739">
        <f>O10-K10</f>
        <v>0</v>
      </c>
      <c r="N10" s="1739"/>
      <c r="O10" s="1739">
        <v>0</v>
      </c>
      <c r="P10" s="798" t="s">
        <v>261</v>
      </c>
      <c r="Q10" s="1221"/>
    </row>
    <row r="11" spans="2:31" s="789" customFormat="1" ht="16" thickBot="1">
      <c r="B11" s="798"/>
      <c r="C11" s="791"/>
      <c r="D11" s="799" t="s">
        <v>1091</v>
      </c>
      <c r="E11" s="793"/>
      <c r="F11" s="793"/>
      <c r="G11" s="1740">
        <f>SUM(G10)</f>
        <v>0</v>
      </c>
      <c r="H11" s="1741"/>
      <c r="I11" s="1740">
        <f>SUM(I10)</f>
        <v>0</v>
      </c>
      <c r="J11" s="1741"/>
      <c r="K11" s="1740">
        <f>SUM(K10)</f>
        <v>0</v>
      </c>
      <c r="L11" s="1741"/>
      <c r="M11" s="1740">
        <f>SUM(M10)</f>
        <v>0</v>
      </c>
      <c r="N11" s="1741"/>
      <c r="O11" s="1740">
        <f>SUM(O10)</f>
        <v>0</v>
      </c>
      <c r="P11" s="798"/>
      <c r="Q11" s="1221"/>
    </row>
    <row r="12" spans="2:31" s="789" customFormat="1" ht="16" thickTop="1">
      <c r="B12" s="798"/>
      <c r="C12" s="791"/>
      <c r="D12" s="800"/>
      <c r="E12" s="793"/>
      <c r="F12" s="793"/>
      <c r="G12" s="1741"/>
      <c r="H12" s="1742"/>
      <c r="I12" s="1741"/>
      <c r="J12" s="1742"/>
      <c r="K12" s="1741"/>
      <c r="L12" s="1742"/>
      <c r="M12" s="1741"/>
      <c r="N12" s="1741"/>
      <c r="O12" s="1741"/>
      <c r="P12" s="798"/>
      <c r="Q12" s="1221"/>
    </row>
    <row r="13" spans="2:31" s="789" customFormat="1" ht="15.5">
      <c r="B13" s="798"/>
      <c r="C13" s="791"/>
      <c r="D13" s="792" t="s">
        <v>1092</v>
      </c>
      <c r="E13" s="793"/>
      <c r="F13" s="793"/>
      <c r="G13" s="1742"/>
      <c r="H13"/>
      <c r="I13" s="1742"/>
      <c r="J13"/>
      <c r="K13" s="1742"/>
      <c r="L13"/>
      <c r="M13" s="1742"/>
      <c r="N13" s="1742"/>
      <c r="O13" s="1742"/>
      <c r="P13" s="798"/>
      <c r="Q13" s="1221"/>
    </row>
    <row r="14" spans="2:31" s="789" customFormat="1" ht="15.5">
      <c r="B14" s="795">
        <v>30051</v>
      </c>
      <c r="C14" s="444"/>
      <c r="D14" s="796" t="s">
        <v>1093</v>
      </c>
      <c r="E14" s="444"/>
      <c r="F14" s="443"/>
      <c r="G14" s="443">
        <v>9474769.9800000004</v>
      </c>
      <c r="H14" s="443"/>
      <c r="I14" s="443">
        <v>89328439.269999996</v>
      </c>
      <c r="J14" s="443"/>
      <c r="K14" s="443">
        <v>84811389.400000006</v>
      </c>
      <c r="L14" s="443"/>
      <c r="M14" s="443">
        <f>O14-K14</f>
        <v>-16872071.510000005</v>
      </c>
      <c r="N14" s="443"/>
      <c r="O14" s="443">
        <v>67939317.890000001</v>
      </c>
      <c r="P14" s="798"/>
      <c r="Q14" s="1221"/>
    </row>
    <row r="15" spans="2:31" s="789" customFormat="1" ht="15.5">
      <c r="B15" s="795">
        <v>30101</v>
      </c>
      <c r="C15" s="778"/>
      <c r="D15" s="796" t="s">
        <v>1094</v>
      </c>
      <c r="E15" s="444"/>
      <c r="F15" s="443"/>
      <c r="G15" s="443">
        <v>0</v>
      </c>
      <c r="H15" s="443"/>
      <c r="I15" s="443">
        <v>0</v>
      </c>
      <c r="J15" s="443"/>
      <c r="K15" s="443">
        <v>0</v>
      </c>
      <c r="L15" s="443"/>
      <c r="M15" s="443">
        <f t="shared" ref="M15:M78" si="0">O15-K15</f>
        <v>0</v>
      </c>
      <c r="N15" s="443"/>
      <c r="O15" s="443">
        <v>0</v>
      </c>
      <c r="P15" s="798"/>
      <c r="Q15" s="1221"/>
    </row>
    <row r="16" spans="2:31" s="789" customFormat="1" ht="15.5">
      <c r="B16" s="795">
        <v>30102</v>
      </c>
      <c r="C16" s="444"/>
      <c r="D16" s="796" t="s">
        <v>1095</v>
      </c>
      <c r="E16" s="444"/>
      <c r="F16" s="443"/>
      <c r="G16" s="443">
        <v>0</v>
      </c>
      <c r="H16" s="443"/>
      <c r="I16" s="443">
        <v>0</v>
      </c>
      <c r="J16" s="443"/>
      <c r="K16" s="443">
        <v>0</v>
      </c>
      <c r="L16" s="443"/>
      <c r="M16" s="443">
        <f t="shared" si="0"/>
        <v>0</v>
      </c>
      <c r="N16" s="443"/>
      <c r="O16" s="443">
        <v>0</v>
      </c>
      <c r="P16" s="798"/>
      <c r="Q16" s="1221"/>
    </row>
    <row r="17" spans="2:17" s="789" customFormat="1" ht="15.5">
      <c r="B17" s="795">
        <v>30103</v>
      </c>
      <c r="C17" s="444"/>
      <c r="D17" s="796" t="s">
        <v>1096</v>
      </c>
      <c r="E17" s="444"/>
      <c r="F17" s="443"/>
      <c r="G17" s="443">
        <v>0</v>
      </c>
      <c r="H17" s="443"/>
      <c r="I17" s="443">
        <v>0</v>
      </c>
      <c r="J17" s="443"/>
      <c r="K17" s="443">
        <v>0</v>
      </c>
      <c r="L17" s="443"/>
      <c r="M17" s="443">
        <f t="shared" si="0"/>
        <v>0</v>
      </c>
      <c r="N17" s="443"/>
      <c r="O17" s="443">
        <v>0</v>
      </c>
      <c r="P17" s="798"/>
      <c r="Q17" s="1221"/>
    </row>
    <row r="18" spans="2:17" s="789" customFormat="1" ht="15.5">
      <c r="B18" s="795">
        <v>30104</v>
      </c>
      <c r="C18" s="444"/>
      <c r="D18" s="796" t="s">
        <v>1097</v>
      </c>
      <c r="E18" s="444"/>
      <c r="F18" s="443"/>
      <c r="G18" s="443">
        <v>0</v>
      </c>
      <c r="H18" s="443"/>
      <c r="I18" s="443">
        <v>0</v>
      </c>
      <c r="J18" s="443"/>
      <c r="K18" s="443">
        <v>0</v>
      </c>
      <c r="L18" s="443"/>
      <c r="M18" s="443">
        <f t="shared" si="0"/>
        <v>0</v>
      </c>
      <c r="N18" s="443"/>
      <c r="O18" s="443">
        <v>0</v>
      </c>
      <c r="P18" s="798"/>
      <c r="Q18" s="1221"/>
    </row>
    <row r="19" spans="2:17" s="789" customFormat="1" ht="15.5">
      <c r="B19" s="795">
        <v>30105</v>
      </c>
      <c r="C19" s="444"/>
      <c r="D19" s="796" t="s">
        <v>1098</v>
      </c>
      <c r="E19" s="444"/>
      <c r="F19" s="443"/>
      <c r="G19" s="443">
        <v>0</v>
      </c>
      <c r="H19" s="443"/>
      <c r="I19" s="443">
        <v>0</v>
      </c>
      <c r="J19" s="443"/>
      <c r="K19" s="443">
        <v>0</v>
      </c>
      <c r="L19" s="443"/>
      <c r="M19" s="443">
        <f t="shared" si="0"/>
        <v>0</v>
      </c>
      <c r="N19" s="443"/>
      <c r="O19" s="443">
        <v>0</v>
      </c>
      <c r="P19" s="798"/>
      <c r="Q19" s="1221"/>
    </row>
    <row r="20" spans="2:17" s="789" customFormat="1" ht="15.5">
      <c r="B20" s="795">
        <v>30106</v>
      </c>
      <c r="C20" s="444"/>
      <c r="D20" s="796" t="s">
        <v>1099</v>
      </c>
      <c r="E20" s="444"/>
      <c r="F20" s="443"/>
      <c r="G20" s="443">
        <v>0</v>
      </c>
      <c r="H20" s="443"/>
      <c r="I20" s="443">
        <v>0</v>
      </c>
      <c r="J20" s="443"/>
      <c r="K20" s="443">
        <v>0</v>
      </c>
      <c r="L20" s="443"/>
      <c r="M20" s="443">
        <f t="shared" si="0"/>
        <v>0</v>
      </c>
      <c r="N20" s="443"/>
      <c r="O20" s="443">
        <v>0</v>
      </c>
      <c r="P20" s="798"/>
      <c r="Q20" s="1221"/>
    </row>
    <row r="21" spans="2:17" s="789" customFormat="1" ht="15.5">
      <c r="B21" s="795">
        <v>30107</v>
      </c>
      <c r="C21" s="444"/>
      <c r="D21" s="796" t="s">
        <v>1100</v>
      </c>
      <c r="E21" s="444"/>
      <c r="F21" s="443"/>
      <c r="G21" s="443">
        <v>405493.49</v>
      </c>
      <c r="H21" s="443"/>
      <c r="I21" s="443">
        <v>583352.84</v>
      </c>
      <c r="J21" s="443"/>
      <c r="K21" s="443">
        <v>0</v>
      </c>
      <c r="L21" s="443"/>
      <c r="M21" s="443">
        <f t="shared" si="0"/>
        <v>0</v>
      </c>
      <c r="N21" s="443"/>
      <c r="O21" s="443">
        <v>0</v>
      </c>
      <c r="P21" s="798"/>
      <c r="Q21" s="1221"/>
    </row>
    <row r="22" spans="2:17" s="789" customFormat="1" ht="15.5">
      <c r="B22" s="795">
        <v>30108</v>
      </c>
      <c r="C22" s="444"/>
      <c r="D22" s="796" t="s">
        <v>1101</v>
      </c>
      <c r="E22" s="444"/>
      <c r="F22" s="443"/>
      <c r="G22" s="443">
        <v>0</v>
      </c>
      <c r="H22" s="443"/>
      <c r="I22" s="443">
        <v>0</v>
      </c>
      <c r="J22" s="443"/>
      <c r="K22" s="443">
        <v>0</v>
      </c>
      <c r="L22" s="443"/>
      <c r="M22" s="443">
        <f t="shared" si="0"/>
        <v>0</v>
      </c>
      <c r="N22" s="443"/>
      <c r="O22" s="443">
        <v>0</v>
      </c>
      <c r="P22" s="798"/>
      <c r="Q22" s="1221"/>
    </row>
    <row r="23" spans="2:17" s="789" customFormat="1" ht="15.5">
      <c r="B23" s="795">
        <v>30109</v>
      </c>
      <c r="C23" s="444"/>
      <c r="D23" s="796" t="s">
        <v>1102</v>
      </c>
      <c r="E23" s="444"/>
      <c r="F23" s="443"/>
      <c r="G23" s="443">
        <v>0</v>
      </c>
      <c r="H23" s="443"/>
      <c r="I23" s="443">
        <v>0</v>
      </c>
      <c r="J23" s="443"/>
      <c r="K23" s="443">
        <v>0</v>
      </c>
      <c r="L23" s="443"/>
      <c r="M23" s="443">
        <f t="shared" si="0"/>
        <v>0</v>
      </c>
      <c r="N23" s="443"/>
      <c r="O23" s="443">
        <v>0</v>
      </c>
      <c r="P23" s="798"/>
      <c r="Q23" s="1221"/>
    </row>
    <row r="24" spans="2:17" s="789" customFormat="1" ht="15.5">
      <c r="B24" s="795">
        <v>30110</v>
      </c>
      <c r="C24" s="444"/>
      <c r="D24" s="796" t="s">
        <v>1103</v>
      </c>
      <c r="E24" s="444"/>
      <c r="F24" s="443"/>
      <c r="G24" s="443">
        <v>0</v>
      </c>
      <c r="H24" s="443"/>
      <c r="I24" s="443">
        <v>0</v>
      </c>
      <c r="J24" s="443"/>
      <c r="K24" s="443">
        <v>0</v>
      </c>
      <c r="L24" s="443"/>
      <c r="M24" s="443">
        <f t="shared" si="0"/>
        <v>0</v>
      </c>
      <c r="N24" s="443"/>
      <c r="O24" s="443">
        <v>0</v>
      </c>
      <c r="P24" s="798"/>
      <c r="Q24" s="1221"/>
    </row>
    <row r="25" spans="2:17" s="789" customFormat="1" ht="15.5">
      <c r="B25" s="795">
        <v>30111</v>
      </c>
      <c r="C25" s="444"/>
      <c r="D25" s="796" t="s">
        <v>1104</v>
      </c>
      <c r="E25" s="444"/>
      <c r="F25" s="443"/>
      <c r="G25" s="443">
        <v>0</v>
      </c>
      <c r="H25" s="443"/>
      <c r="I25" s="443">
        <v>0</v>
      </c>
      <c r="J25" s="443"/>
      <c r="K25" s="443">
        <v>0</v>
      </c>
      <c r="L25" s="443"/>
      <c r="M25" s="443">
        <f t="shared" si="0"/>
        <v>0</v>
      </c>
      <c r="N25" s="443"/>
      <c r="O25" s="443">
        <v>0</v>
      </c>
      <c r="P25" s="798"/>
      <c r="Q25" s="1221"/>
    </row>
    <row r="26" spans="2:17" s="789" customFormat="1" ht="15.5">
      <c r="B26" s="795">
        <v>30112</v>
      </c>
      <c r="C26" s="444"/>
      <c r="D26" s="796" t="s">
        <v>1105</v>
      </c>
      <c r="E26" s="444"/>
      <c r="F26" s="443"/>
      <c r="G26" s="443">
        <v>0</v>
      </c>
      <c r="H26" s="443"/>
      <c r="I26" s="443">
        <v>0</v>
      </c>
      <c r="J26" s="443"/>
      <c r="K26" s="443">
        <v>0</v>
      </c>
      <c r="L26" s="443"/>
      <c r="M26" s="443">
        <f t="shared" si="0"/>
        <v>0</v>
      </c>
      <c r="N26" s="443"/>
      <c r="O26" s="443">
        <v>0</v>
      </c>
      <c r="P26" s="798"/>
      <c r="Q26" s="1221"/>
    </row>
    <row r="27" spans="2:17" s="789" customFormat="1" ht="15.5">
      <c r="B27" s="795">
        <v>30113</v>
      </c>
      <c r="C27" s="444"/>
      <c r="D27" s="796" t="s">
        <v>1106</v>
      </c>
      <c r="E27" s="444"/>
      <c r="F27" s="443"/>
      <c r="G27" s="443">
        <v>10952.02</v>
      </c>
      <c r="H27" s="443"/>
      <c r="I27" s="443">
        <v>10995.43</v>
      </c>
      <c r="J27" s="443"/>
      <c r="K27" s="443">
        <v>11039.56</v>
      </c>
      <c r="L27" s="443"/>
      <c r="M27" s="443">
        <f t="shared" si="0"/>
        <v>41.920000000000073</v>
      </c>
      <c r="N27" s="443"/>
      <c r="O27" s="443">
        <v>11081.48</v>
      </c>
      <c r="P27" s="798"/>
      <c r="Q27" s="1221"/>
    </row>
    <row r="28" spans="2:17" s="789" customFormat="1" ht="15.5">
      <c r="B28" s="795">
        <v>30114</v>
      </c>
      <c r="C28" s="444"/>
      <c r="D28" s="796" t="s">
        <v>1107</v>
      </c>
      <c r="E28" s="444"/>
      <c r="F28" s="443"/>
      <c r="G28" s="443">
        <v>0</v>
      </c>
      <c r="H28" s="443"/>
      <c r="I28" s="443">
        <v>0</v>
      </c>
      <c r="J28" s="443"/>
      <c r="K28" s="443">
        <v>0</v>
      </c>
      <c r="L28" s="443"/>
      <c r="M28" s="443">
        <f t="shared" si="0"/>
        <v>0</v>
      </c>
      <c r="N28" s="443"/>
      <c r="O28" s="443">
        <v>0</v>
      </c>
      <c r="P28" s="798"/>
      <c r="Q28" s="1221"/>
    </row>
    <row r="29" spans="2:17" s="789" customFormat="1" ht="15.5">
      <c r="B29" s="795">
        <v>30115</v>
      </c>
      <c r="C29" s="444"/>
      <c r="D29" s="796" t="s">
        <v>1108</v>
      </c>
      <c r="E29" s="444"/>
      <c r="F29" s="443"/>
      <c r="G29" s="443">
        <v>0</v>
      </c>
      <c r="H29" s="443"/>
      <c r="I29" s="443">
        <v>0</v>
      </c>
      <c r="J29" s="443"/>
      <c r="K29" s="443">
        <v>0</v>
      </c>
      <c r="L29" s="443"/>
      <c r="M29" s="443">
        <f t="shared" si="0"/>
        <v>0</v>
      </c>
      <c r="N29" s="443"/>
      <c r="O29" s="443">
        <v>0</v>
      </c>
      <c r="P29" s="798"/>
      <c r="Q29" s="1221"/>
    </row>
    <row r="30" spans="2:17" s="789" customFormat="1" ht="15.5">
      <c r="B30" s="795">
        <v>30116</v>
      </c>
      <c r="C30" s="444"/>
      <c r="D30" s="796" t="s">
        <v>1109</v>
      </c>
      <c r="E30" s="444"/>
      <c r="F30" s="443"/>
      <c r="G30" s="443">
        <v>0</v>
      </c>
      <c r="H30" s="443"/>
      <c r="I30" s="443">
        <v>0</v>
      </c>
      <c r="J30" s="443"/>
      <c r="K30" s="443">
        <v>0</v>
      </c>
      <c r="L30" s="443"/>
      <c r="M30" s="443">
        <f t="shared" si="0"/>
        <v>0</v>
      </c>
      <c r="N30" s="443"/>
      <c r="O30" s="443">
        <v>0</v>
      </c>
      <c r="P30" s="798"/>
      <c r="Q30" s="1221"/>
    </row>
    <row r="31" spans="2:17" s="789" customFormat="1" ht="15.5">
      <c r="B31" s="795">
        <v>30117</v>
      </c>
      <c r="C31" s="444"/>
      <c r="D31" s="796" t="s">
        <v>1110</v>
      </c>
      <c r="E31" s="444"/>
      <c r="F31" s="443"/>
      <c r="G31" s="443">
        <v>0</v>
      </c>
      <c r="H31" s="443"/>
      <c r="I31" s="443">
        <v>0</v>
      </c>
      <c r="J31" s="443"/>
      <c r="K31" s="443">
        <v>0</v>
      </c>
      <c r="L31" s="443"/>
      <c r="M31" s="443">
        <f t="shared" si="0"/>
        <v>0</v>
      </c>
      <c r="N31" s="443"/>
      <c r="O31" s="443">
        <v>0</v>
      </c>
      <c r="P31" s="798"/>
      <c r="Q31" s="1221"/>
    </row>
    <row r="32" spans="2:17" s="789" customFormat="1" ht="15.5">
      <c r="B32" s="795">
        <v>30118</v>
      </c>
      <c r="C32" s="444"/>
      <c r="D32" s="796" t="s">
        <v>1111</v>
      </c>
      <c r="E32" s="444"/>
      <c r="F32" s="443"/>
      <c r="G32" s="443">
        <v>0</v>
      </c>
      <c r="H32" s="443"/>
      <c r="I32" s="443">
        <v>0</v>
      </c>
      <c r="J32" s="443"/>
      <c r="K32" s="443">
        <v>0</v>
      </c>
      <c r="L32" s="443"/>
      <c r="M32" s="443">
        <f t="shared" si="0"/>
        <v>0</v>
      </c>
      <c r="N32" s="443"/>
      <c r="O32" s="443">
        <v>0</v>
      </c>
      <c r="P32" s="798"/>
      <c r="Q32" s="1221"/>
    </row>
    <row r="33" spans="2:17" s="789" customFormat="1" ht="15.5">
      <c r="B33" s="795">
        <v>30119</v>
      </c>
      <c r="C33" s="444"/>
      <c r="D33" s="796" t="s">
        <v>1112</v>
      </c>
      <c r="E33" s="444"/>
      <c r="F33" s="443"/>
      <c r="G33" s="443">
        <v>0</v>
      </c>
      <c r="H33" s="443"/>
      <c r="I33" s="443">
        <v>0</v>
      </c>
      <c r="J33" s="443"/>
      <c r="K33" s="443">
        <v>0</v>
      </c>
      <c r="L33" s="443"/>
      <c r="M33" s="443">
        <f t="shared" si="0"/>
        <v>0</v>
      </c>
      <c r="N33" s="443"/>
      <c r="O33" s="443">
        <v>0</v>
      </c>
      <c r="P33" s="798"/>
      <c r="Q33" s="1221"/>
    </row>
    <row r="34" spans="2:17" s="789" customFormat="1" ht="15.5">
      <c r="B34" s="795">
        <v>30120</v>
      </c>
      <c r="C34" s="444"/>
      <c r="D34" s="796" t="s">
        <v>1113</v>
      </c>
      <c r="E34" s="444"/>
      <c r="F34" s="443"/>
      <c r="G34" s="443">
        <v>0</v>
      </c>
      <c r="H34" s="443"/>
      <c r="I34" s="443">
        <v>0</v>
      </c>
      <c r="J34" s="443"/>
      <c r="K34" s="443">
        <v>0</v>
      </c>
      <c r="L34" s="443"/>
      <c r="M34" s="443">
        <f t="shared" si="0"/>
        <v>0</v>
      </c>
      <c r="N34" s="443"/>
      <c r="O34" s="443">
        <v>0</v>
      </c>
      <c r="P34" s="798"/>
      <c r="Q34" s="1221"/>
    </row>
    <row r="35" spans="2:17" s="789" customFormat="1" ht="15.5">
      <c r="B35" s="795">
        <v>30121</v>
      </c>
      <c r="C35" s="444"/>
      <c r="D35" s="796" t="s">
        <v>1114</v>
      </c>
      <c r="E35" s="444"/>
      <c r="F35" s="443"/>
      <c r="G35" s="443">
        <v>0</v>
      </c>
      <c r="H35" s="443"/>
      <c r="I35" s="443">
        <v>0</v>
      </c>
      <c r="J35" s="443"/>
      <c r="K35" s="443">
        <v>0</v>
      </c>
      <c r="L35" s="443"/>
      <c r="M35" s="443">
        <f t="shared" si="0"/>
        <v>0</v>
      </c>
      <c r="N35" s="443"/>
      <c r="O35" s="443">
        <v>0</v>
      </c>
      <c r="P35" s="798"/>
      <c r="Q35" s="1221"/>
    </row>
    <row r="36" spans="2:17" s="789" customFormat="1" ht="15.5">
      <c r="B36" s="795">
        <v>30122</v>
      </c>
      <c r="C36" s="444"/>
      <c r="D36" s="796" t="s">
        <v>1115</v>
      </c>
      <c r="E36" s="444"/>
      <c r="F36" s="443"/>
      <c r="G36" s="443">
        <v>0</v>
      </c>
      <c r="H36" s="443"/>
      <c r="I36" s="443">
        <v>0</v>
      </c>
      <c r="J36" s="443"/>
      <c r="K36" s="443">
        <v>0</v>
      </c>
      <c r="L36" s="443"/>
      <c r="M36" s="443">
        <f t="shared" si="0"/>
        <v>0</v>
      </c>
      <c r="N36" s="443"/>
      <c r="O36" s="443">
        <v>0</v>
      </c>
      <c r="P36" s="798"/>
      <c r="Q36" s="1221"/>
    </row>
    <row r="37" spans="2:17" s="789" customFormat="1" ht="15.5">
      <c r="B37" s="795">
        <v>30123</v>
      </c>
      <c r="C37" s="444"/>
      <c r="D37" s="796" t="s">
        <v>1116</v>
      </c>
      <c r="E37" s="444"/>
      <c r="F37" s="443"/>
      <c r="G37" s="443">
        <v>0</v>
      </c>
      <c r="H37" s="443"/>
      <c r="I37" s="443">
        <v>0</v>
      </c>
      <c r="J37" s="443"/>
      <c r="K37" s="443">
        <v>0</v>
      </c>
      <c r="L37" s="443"/>
      <c r="M37" s="443">
        <f t="shared" si="0"/>
        <v>0</v>
      </c>
      <c r="N37" s="443"/>
      <c r="O37" s="443">
        <v>0</v>
      </c>
      <c r="P37" s="798"/>
      <c r="Q37" s="1221"/>
    </row>
    <row r="38" spans="2:17" s="789" customFormat="1" ht="15.5">
      <c r="B38" s="795">
        <v>30124</v>
      </c>
      <c r="C38" s="444"/>
      <c r="D38" s="796" t="s">
        <v>1117</v>
      </c>
      <c r="E38" s="444"/>
      <c r="F38" s="443"/>
      <c r="G38" s="443">
        <v>0</v>
      </c>
      <c r="H38" s="443"/>
      <c r="I38" s="443">
        <v>0</v>
      </c>
      <c r="J38" s="443"/>
      <c r="K38" s="443">
        <v>0</v>
      </c>
      <c r="L38" s="443"/>
      <c r="M38" s="443">
        <f t="shared" si="0"/>
        <v>0</v>
      </c>
      <c r="N38" s="443"/>
      <c r="O38" s="443">
        <v>0</v>
      </c>
      <c r="P38" s="798"/>
      <c r="Q38" s="1221"/>
    </row>
    <row r="39" spans="2:17" s="789" customFormat="1" ht="15.5">
      <c r="B39" s="795">
        <v>30125</v>
      </c>
      <c r="C39" s="444"/>
      <c r="D39" s="796" t="s">
        <v>1118</v>
      </c>
      <c r="E39" s="444"/>
      <c r="F39" s="443"/>
      <c r="G39" s="443">
        <v>0</v>
      </c>
      <c r="H39" s="443"/>
      <c r="I39" s="443">
        <v>0</v>
      </c>
      <c r="J39" s="443"/>
      <c r="K39" s="443">
        <v>0</v>
      </c>
      <c r="L39" s="443"/>
      <c r="M39" s="443">
        <f t="shared" si="0"/>
        <v>0</v>
      </c>
      <c r="N39" s="443"/>
      <c r="O39" s="443">
        <v>0</v>
      </c>
      <c r="P39" s="798"/>
      <c r="Q39" s="1221"/>
    </row>
    <row r="40" spans="2:17" s="789" customFormat="1" ht="15.5">
      <c r="B40" s="795">
        <v>30126</v>
      </c>
      <c r="C40" s="444"/>
      <c r="D40" s="796" t="s">
        <v>1119</v>
      </c>
      <c r="E40" s="444"/>
      <c r="F40" s="443"/>
      <c r="G40" s="443">
        <v>0</v>
      </c>
      <c r="H40" s="443"/>
      <c r="I40" s="443">
        <v>0</v>
      </c>
      <c r="J40" s="443"/>
      <c r="K40" s="443">
        <v>0</v>
      </c>
      <c r="L40" s="443"/>
      <c r="M40" s="443">
        <f t="shared" si="0"/>
        <v>0</v>
      </c>
      <c r="N40" s="443"/>
      <c r="O40" s="443">
        <v>0</v>
      </c>
      <c r="P40" s="798"/>
      <c r="Q40" s="1221"/>
    </row>
    <row r="41" spans="2:17" s="789" customFormat="1" ht="15.5">
      <c r="B41" s="795">
        <v>30127</v>
      </c>
      <c r="C41" s="444"/>
      <c r="D41" s="796" t="s">
        <v>1120</v>
      </c>
      <c r="E41" s="444"/>
      <c r="F41" s="443"/>
      <c r="G41" s="443">
        <v>226038.47</v>
      </c>
      <c r="H41" s="443"/>
      <c r="I41" s="443">
        <v>226932.84</v>
      </c>
      <c r="J41" s="443"/>
      <c r="K41" s="443">
        <v>227843.55</v>
      </c>
      <c r="L41" s="443"/>
      <c r="M41" s="443">
        <f t="shared" si="0"/>
        <v>865.30000000001746</v>
      </c>
      <c r="N41" s="443"/>
      <c r="O41" s="443">
        <v>228708.85</v>
      </c>
      <c r="P41" s="798"/>
      <c r="Q41" s="1221"/>
    </row>
    <row r="42" spans="2:17" s="789" customFormat="1" ht="15.5">
      <c r="B42" s="795">
        <v>30128</v>
      </c>
      <c r="C42" s="444"/>
      <c r="D42" s="796" t="s">
        <v>1121</v>
      </c>
      <c r="E42" s="444"/>
      <c r="F42" s="443"/>
      <c r="G42" s="443">
        <v>0</v>
      </c>
      <c r="H42" s="443"/>
      <c r="I42" s="443">
        <v>0</v>
      </c>
      <c r="J42" s="443"/>
      <c r="K42" s="443">
        <v>0</v>
      </c>
      <c r="L42" s="443"/>
      <c r="M42" s="443">
        <f t="shared" si="0"/>
        <v>0</v>
      </c>
      <c r="N42" s="443"/>
      <c r="O42" s="443">
        <v>0</v>
      </c>
      <c r="P42" s="798"/>
      <c r="Q42" s="1221"/>
    </row>
    <row r="43" spans="2:17" s="789" customFormat="1" ht="15.5">
      <c r="B43" s="795">
        <v>30129</v>
      </c>
      <c r="C43" s="444"/>
      <c r="D43" s="796" t="s">
        <v>1122</v>
      </c>
      <c r="E43" s="444"/>
      <c r="F43" s="443"/>
      <c r="G43" s="443">
        <v>3397247.45</v>
      </c>
      <c r="H43" s="443"/>
      <c r="I43" s="443">
        <v>3482262.62</v>
      </c>
      <c r="J43" s="443"/>
      <c r="K43" s="443">
        <v>0</v>
      </c>
      <c r="L43" s="443"/>
      <c r="M43" s="443">
        <f t="shared" si="0"/>
        <v>0</v>
      </c>
      <c r="N43" s="443"/>
      <c r="O43" s="443">
        <v>0</v>
      </c>
      <c r="P43" s="798"/>
      <c r="Q43" s="1221"/>
    </row>
    <row r="44" spans="2:17" s="789" customFormat="1" ht="15.5">
      <c r="B44" s="795">
        <v>30130</v>
      </c>
      <c r="C44" s="444"/>
      <c r="D44" s="796" t="s">
        <v>1123</v>
      </c>
      <c r="E44" s="444"/>
      <c r="F44" s="443"/>
      <c r="G44" s="443">
        <v>0</v>
      </c>
      <c r="H44" s="443"/>
      <c r="I44" s="443">
        <v>0</v>
      </c>
      <c r="J44" s="443"/>
      <c r="K44" s="443">
        <v>0</v>
      </c>
      <c r="L44" s="443"/>
      <c r="M44" s="443">
        <f t="shared" si="0"/>
        <v>0</v>
      </c>
      <c r="N44" s="443"/>
      <c r="O44" s="443">
        <v>0</v>
      </c>
      <c r="P44" s="798"/>
      <c r="Q44" s="1221"/>
    </row>
    <row r="45" spans="2:17" s="789" customFormat="1" ht="15.5">
      <c r="B45" s="795">
        <v>30131</v>
      </c>
      <c r="C45" s="444"/>
      <c r="D45" s="796" t="s">
        <v>1124</v>
      </c>
      <c r="E45" s="444"/>
      <c r="F45" s="443"/>
      <c r="G45" s="443">
        <v>0</v>
      </c>
      <c r="H45" s="443"/>
      <c r="I45" s="443">
        <v>0</v>
      </c>
      <c r="J45" s="443"/>
      <c r="K45" s="443">
        <v>0</v>
      </c>
      <c r="L45" s="443"/>
      <c r="M45" s="443">
        <f t="shared" si="0"/>
        <v>0</v>
      </c>
      <c r="N45" s="443"/>
      <c r="O45" s="443">
        <v>0</v>
      </c>
      <c r="P45" s="798"/>
      <c r="Q45" s="1221"/>
    </row>
    <row r="46" spans="2:17" s="789" customFormat="1" ht="15.5">
      <c r="B46" s="795">
        <v>30132</v>
      </c>
      <c r="C46" s="444"/>
      <c r="D46" s="796" t="s">
        <v>1125</v>
      </c>
      <c r="E46" s="444"/>
      <c r="F46" s="443"/>
      <c r="G46" s="443">
        <v>0</v>
      </c>
      <c r="H46" s="443"/>
      <c r="I46" s="443">
        <v>0</v>
      </c>
      <c r="J46" s="443"/>
      <c r="K46" s="443">
        <v>0</v>
      </c>
      <c r="L46" s="443"/>
      <c r="M46" s="443">
        <f t="shared" si="0"/>
        <v>0</v>
      </c>
      <c r="N46" s="443"/>
      <c r="O46" s="443">
        <v>0</v>
      </c>
      <c r="P46" s="798"/>
      <c r="Q46" s="1221"/>
    </row>
    <row r="47" spans="2:17" s="789" customFormat="1" ht="15.5">
      <c r="B47" s="795">
        <v>30133</v>
      </c>
      <c r="C47" s="444"/>
      <c r="D47" s="796" t="s">
        <v>1126</v>
      </c>
      <c r="E47" s="444"/>
      <c r="F47" s="443"/>
      <c r="G47" s="443">
        <v>0</v>
      </c>
      <c r="H47" s="443"/>
      <c r="I47" s="443">
        <v>0</v>
      </c>
      <c r="J47" s="443"/>
      <c r="K47" s="443">
        <v>0</v>
      </c>
      <c r="L47" s="443"/>
      <c r="M47" s="443">
        <f t="shared" si="0"/>
        <v>0</v>
      </c>
      <c r="N47" s="443"/>
      <c r="O47" s="443">
        <v>0</v>
      </c>
      <c r="P47" s="798"/>
      <c r="Q47" s="1221"/>
    </row>
    <row r="48" spans="2:17" s="789" customFormat="1" ht="15.5">
      <c r="B48" s="795">
        <v>30134</v>
      </c>
      <c r="C48" s="444"/>
      <c r="D48" s="796" t="s">
        <v>1127</v>
      </c>
      <c r="E48" s="444"/>
      <c r="F48" s="443"/>
      <c r="G48" s="443">
        <v>0</v>
      </c>
      <c r="H48" s="443"/>
      <c r="I48" s="443">
        <v>0</v>
      </c>
      <c r="J48" s="443"/>
      <c r="K48" s="443">
        <v>0</v>
      </c>
      <c r="L48" s="443"/>
      <c r="M48" s="443">
        <f t="shared" si="0"/>
        <v>0</v>
      </c>
      <c r="N48" s="443"/>
      <c r="O48" s="443">
        <v>0</v>
      </c>
      <c r="P48" s="798"/>
      <c r="Q48" s="1221"/>
    </row>
    <row r="49" spans="2:17" s="789" customFormat="1" ht="15.5">
      <c r="B49" s="795">
        <v>30135</v>
      </c>
      <c r="C49" s="444"/>
      <c r="D49" s="796" t="s">
        <v>1128</v>
      </c>
      <c r="E49" s="444"/>
      <c r="F49" s="443"/>
      <c r="G49" s="443">
        <v>0</v>
      </c>
      <c r="H49" s="443"/>
      <c r="I49" s="443">
        <v>0</v>
      </c>
      <c r="J49" s="443"/>
      <c r="K49" s="443">
        <v>0</v>
      </c>
      <c r="L49" s="443"/>
      <c r="M49" s="443">
        <f t="shared" si="0"/>
        <v>0</v>
      </c>
      <c r="N49" s="443"/>
      <c r="O49" s="443">
        <v>0</v>
      </c>
      <c r="P49" s="798"/>
      <c r="Q49" s="1221"/>
    </row>
    <row r="50" spans="2:17" s="789" customFormat="1" ht="15.5">
      <c r="B50" s="795">
        <v>30136</v>
      </c>
      <c r="C50" s="444"/>
      <c r="D50" s="796" t="s">
        <v>1129</v>
      </c>
      <c r="E50" s="444"/>
      <c r="F50" s="443"/>
      <c r="G50" s="443">
        <v>0</v>
      </c>
      <c r="H50" s="443"/>
      <c r="I50" s="443">
        <v>0</v>
      </c>
      <c r="J50" s="443"/>
      <c r="K50" s="443">
        <v>0</v>
      </c>
      <c r="L50" s="443"/>
      <c r="M50" s="443">
        <f t="shared" si="0"/>
        <v>0</v>
      </c>
      <c r="N50" s="443"/>
      <c r="O50" s="443">
        <v>0</v>
      </c>
      <c r="P50" s="798"/>
      <c r="Q50" s="1221"/>
    </row>
    <row r="51" spans="2:17" s="789" customFormat="1" ht="15.5">
      <c r="B51" s="795">
        <v>30137</v>
      </c>
      <c r="C51" s="444"/>
      <c r="D51" s="796" t="s">
        <v>1130</v>
      </c>
      <c r="E51" s="444"/>
      <c r="F51" s="443"/>
      <c r="G51" s="443">
        <v>0</v>
      </c>
      <c r="H51" s="443"/>
      <c r="I51" s="443">
        <v>0</v>
      </c>
      <c r="J51" s="443"/>
      <c r="K51" s="443">
        <v>0</v>
      </c>
      <c r="L51" s="443"/>
      <c r="M51" s="443">
        <f t="shared" si="0"/>
        <v>0</v>
      </c>
      <c r="N51" s="443"/>
      <c r="O51" s="443">
        <v>0</v>
      </c>
      <c r="P51" s="798"/>
      <c r="Q51" s="1221"/>
    </row>
    <row r="52" spans="2:17" s="789" customFormat="1" ht="15.5">
      <c r="B52" s="795">
        <v>30138</v>
      </c>
      <c r="C52" s="444"/>
      <c r="D52" s="796" t="s">
        <v>1131</v>
      </c>
      <c r="E52" s="444"/>
      <c r="F52" s="443"/>
      <c r="G52" s="443">
        <v>0</v>
      </c>
      <c r="H52" s="443"/>
      <c r="I52" s="443">
        <v>0</v>
      </c>
      <c r="J52" s="443"/>
      <c r="K52" s="443">
        <v>0</v>
      </c>
      <c r="L52" s="443"/>
      <c r="M52" s="443">
        <f t="shared" si="0"/>
        <v>0</v>
      </c>
      <c r="N52" s="443"/>
      <c r="O52" s="443">
        <v>0</v>
      </c>
      <c r="P52" s="798"/>
      <c r="Q52" s="1221"/>
    </row>
    <row r="53" spans="2:17" s="789" customFormat="1" ht="15.5">
      <c r="B53" s="795">
        <v>30139</v>
      </c>
      <c r="C53" s="444"/>
      <c r="D53" s="796" t="s">
        <v>1132</v>
      </c>
      <c r="E53" s="444"/>
      <c r="F53" s="443"/>
      <c r="G53" s="443">
        <v>0</v>
      </c>
      <c r="H53" s="443"/>
      <c r="I53" s="443">
        <v>0</v>
      </c>
      <c r="J53" s="443"/>
      <c r="K53" s="443">
        <v>0</v>
      </c>
      <c r="L53" s="443"/>
      <c r="M53" s="443">
        <f t="shared" si="0"/>
        <v>0</v>
      </c>
      <c r="N53" s="443"/>
      <c r="O53" s="443">
        <v>0</v>
      </c>
      <c r="P53" s="798"/>
      <c r="Q53" s="1221"/>
    </row>
    <row r="54" spans="2:17" s="789" customFormat="1" ht="15.5">
      <c r="B54" s="795">
        <v>30140</v>
      </c>
      <c r="C54" s="444"/>
      <c r="D54" s="796" t="s">
        <v>1133</v>
      </c>
      <c r="E54" s="444"/>
      <c r="F54" s="443"/>
      <c r="G54" s="443">
        <v>0</v>
      </c>
      <c r="H54" s="443"/>
      <c r="I54" s="443">
        <v>0</v>
      </c>
      <c r="J54" s="443"/>
      <c r="K54" s="443">
        <v>0</v>
      </c>
      <c r="L54" s="443"/>
      <c r="M54" s="443">
        <f t="shared" si="0"/>
        <v>0</v>
      </c>
      <c r="N54" s="443"/>
      <c r="O54" s="443">
        <v>0</v>
      </c>
      <c r="P54" s="798"/>
      <c r="Q54" s="1221"/>
    </row>
    <row r="55" spans="2:17" s="789" customFormat="1" ht="15.5">
      <c r="B55" s="795">
        <v>30141</v>
      </c>
      <c r="C55" s="444"/>
      <c r="D55" s="796" t="s">
        <v>1134</v>
      </c>
      <c r="E55" s="444"/>
      <c r="F55" s="443"/>
      <c r="G55" s="443">
        <v>20903.5</v>
      </c>
      <c r="H55" s="443"/>
      <c r="I55" s="443">
        <v>20986.36</v>
      </c>
      <c r="J55" s="443"/>
      <c r="K55" s="443">
        <v>21070.58</v>
      </c>
      <c r="L55" s="443"/>
      <c r="M55" s="443">
        <f t="shared" si="0"/>
        <v>80.019999999996799</v>
      </c>
      <c r="N55" s="443"/>
      <c r="O55" s="443">
        <v>21150.6</v>
      </c>
      <c r="P55" s="798"/>
      <c r="Q55" s="1221"/>
    </row>
    <row r="56" spans="2:17" s="789" customFormat="1" ht="15.5">
      <c r="B56" s="795">
        <v>30142</v>
      </c>
      <c r="C56" s="444"/>
      <c r="D56" s="796" t="s">
        <v>1135</v>
      </c>
      <c r="E56" s="444"/>
      <c r="F56" s="443"/>
      <c r="G56" s="443">
        <v>0</v>
      </c>
      <c r="H56" s="443"/>
      <c r="I56" s="443">
        <v>0</v>
      </c>
      <c r="J56" s="443"/>
      <c r="K56" s="443">
        <v>0</v>
      </c>
      <c r="L56" s="443"/>
      <c r="M56" s="443">
        <f t="shared" si="0"/>
        <v>0</v>
      </c>
      <c r="N56" s="443"/>
      <c r="O56" s="443">
        <v>0</v>
      </c>
      <c r="P56" s="798"/>
      <c r="Q56" s="1221"/>
    </row>
    <row r="57" spans="2:17" s="789" customFormat="1" ht="15.5">
      <c r="B57" s="795">
        <v>30143</v>
      </c>
      <c r="C57" s="444"/>
      <c r="D57" s="796" t="s">
        <v>1136</v>
      </c>
      <c r="E57" s="444"/>
      <c r="F57" s="443"/>
      <c r="G57" s="443">
        <v>0</v>
      </c>
      <c r="H57" s="443"/>
      <c r="I57" s="443">
        <v>0</v>
      </c>
      <c r="J57" s="443"/>
      <c r="K57" s="443">
        <v>0</v>
      </c>
      <c r="L57" s="443"/>
      <c r="M57" s="443">
        <f t="shared" si="0"/>
        <v>0</v>
      </c>
      <c r="N57" s="443"/>
      <c r="O57" s="443">
        <v>0</v>
      </c>
      <c r="P57" s="798"/>
      <c r="Q57" s="1221"/>
    </row>
    <row r="58" spans="2:17" s="789" customFormat="1" ht="15.5">
      <c r="B58" s="795">
        <v>30144</v>
      </c>
      <c r="C58" s="444"/>
      <c r="D58" s="796" t="s">
        <v>1137</v>
      </c>
      <c r="E58" s="444"/>
      <c r="F58" s="443"/>
      <c r="G58" s="443">
        <v>0</v>
      </c>
      <c r="H58" s="443"/>
      <c r="I58" s="443">
        <v>0</v>
      </c>
      <c r="J58" s="443"/>
      <c r="K58" s="443">
        <v>0</v>
      </c>
      <c r="L58" s="443"/>
      <c r="M58" s="443">
        <f t="shared" si="0"/>
        <v>0</v>
      </c>
      <c r="N58" s="443"/>
      <c r="O58" s="443">
        <v>0</v>
      </c>
      <c r="P58" s="798"/>
      <c r="Q58" s="1221"/>
    </row>
    <row r="59" spans="2:17" s="789" customFormat="1" ht="15.5">
      <c r="B59" s="795">
        <v>30145</v>
      </c>
      <c r="C59" s="444"/>
      <c r="D59" s="796" t="s">
        <v>1138</v>
      </c>
      <c r="E59" s="444"/>
      <c r="F59" s="443"/>
      <c r="G59" s="443">
        <v>0</v>
      </c>
      <c r="H59" s="443"/>
      <c r="I59" s="443">
        <v>0</v>
      </c>
      <c r="J59" s="443"/>
      <c r="K59" s="443">
        <v>0</v>
      </c>
      <c r="L59" s="443"/>
      <c r="M59" s="443">
        <f t="shared" si="0"/>
        <v>0</v>
      </c>
      <c r="N59" s="443"/>
      <c r="O59" s="443">
        <v>0</v>
      </c>
      <c r="P59" s="798"/>
      <c r="Q59" s="1221"/>
    </row>
    <row r="60" spans="2:17" s="789" customFormat="1" ht="15.5">
      <c r="B60" s="795">
        <v>30146</v>
      </c>
      <c r="C60" s="444"/>
      <c r="D60" s="796" t="s">
        <v>1139</v>
      </c>
      <c r="E60" s="444"/>
      <c r="F60" s="443"/>
      <c r="G60" s="443">
        <v>0</v>
      </c>
      <c r="H60" s="443"/>
      <c r="I60" s="443">
        <v>0</v>
      </c>
      <c r="J60" s="443"/>
      <c r="K60" s="443">
        <v>0</v>
      </c>
      <c r="L60" s="443"/>
      <c r="M60" s="443">
        <f t="shared" si="0"/>
        <v>0</v>
      </c>
      <c r="N60" s="443"/>
      <c r="O60" s="443">
        <v>0</v>
      </c>
      <c r="P60" s="798"/>
      <c r="Q60" s="1221"/>
    </row>
    <row r="61" spans="2:17" s="789" customFormat="1" ht="15.5">
      <c r="B61" s="795">
        <v>30147</v>
      </c>
      <c r="C61" s="444"/>
      <c r="D61" s="796" t="s">
        <v>1140</v>
      </c>
      <c r="E61" s="444"/>
      <c r="F61" s="443"/>
      <c r="G61" s="443">
        <v>0</v>
      </c>
      <c r="H61" s="443"/>
      <c r="I61" s="443">
        <v>0</v>
      </c>
      <c r="J61" s="443"/>
      <c r="K61" s="443">
        <v>0</v>
      </c>
      <c r="L61" s="443"/>
      <c r="M61" s="443">
        <f t="shared" si="0"/>
        <v>0</v>
      </c>
      <c r="N61" s="443"/>
      <c r="O61" s="443">
        <v>0</v>
      </c>
      <c r="P61" s="798"/>
      <c r="Q61" s="1221"/>
    </row>
    <row r="62" spans="2:17" s="789" customFormat="1" ht="15.5">
      <c r="B62" s="795">
        <v>30148</v>
      </c>
      <c r="C62" s="444"/>
      <c r="D62" s="796" t="s">
        <v>1141</v>
      </c>
      <c r="E62" s="444"/>
      <c r="F62" s="443"/>
      <c r="G62" s="443">
        <v>0</v>
      </c>
      <c r="H62" s="443"/>
      <c r="I62" s="443">
        <v>0</v>
      </c>
      <c r="J62" s="443"/>
      <c r="K62" s="443">
        <v>0</v>
      </c>
      <c r="L62" s="443"/>
      <c r="M62" s="443">
        <f t="shared" si="0"/>
        <v>0</v>
      </c>
      <c r="N62" s="443"/>
      <c r="O62" s="443">
        <v>0</v>
      </c>
      <c r="P62" s="798"/>
      <c r="Q62" s="1221"/>
    </row>
    <row r="63" spans="2:17" s="789" customFormat="1" ht="15.5">
      <c r="B63" s="795">
        <v>30149</v>
      </c>
      <c r="C63" s="444"/>
      <c r="D63" s="796" t="s">
        <v>1142</v>
      </c>
      <c r="E63" s="444"/>
      <c r="F63" s="443"/>
      <c r="G63" s="443">
        <v>0</v>
      </c>
      <c r="H63" s="443"/>
      <c r="I63" s="443">
        <v>0</v>
      </c>
      <c r="J63" s="443"/>
      <c r="K63" s="443">
        <v>0</v>
      </c>
      <c r="L63" s="443"/>
      <c r="M63" s="443">
        <f t="shared" si="0"/>
        <v>0</v>
      </c>
      <c r="N63" s="443"/>
      <c r="O63" s="443">
        <v>0</v>
      </c>
      <c r="P63" s="798"/>
      <c r="Q63" s="1221"/>
    </row>
    <row r="64" spans="2:17" s="789" customFormat="1" ht="15.5">
      <c r="B64" s="795">
        <v>30150</v>
      </c>
      <c r="C64" s="444"/>
      <c r="D64" s="796" t="s">
        <v>1143</v>
      </c>
      <c r="E64" s="444"/>
      <c r="F64" s="443"/>
      <c r="G64" s="443">
        <v>0</v>
      </c>
      <c r="H64" s="443"/>
      <c r="I64" s="443">
        <v>0</v>
      </c>
      <c r="J64" s="443"/>
      <c r="K64" s="443">
        <v>0</v>
      </c>
      <c r="L64" s="443"/>
      <c r="M64" s="443">
        <f t="shared" si="0"/>
        <v>0</v>
      </c>
      <c r="N64" s="443"/>
      <c r="O64" s="443">
        <v>0</v>
      </c>
      <c r="P64" s="798"/>
      <c r="Q64" s="1221"/>
    </row>
    <row r="65" spans="2:17" s="789" customFormat="1" ht="15.5">
      <c r="B65" s="795">
        <v>30151</v>
      </c>
      <c r="C65" s="444"/>
      <c r="D65" s="796" t="s">
        <v>1144</v>
      </c>
      <c r="E65" s="444"/>
      <c r="F65" s="443"/>
      <c r="G65" s="443">
        <v>0</v>
      </c>
      <c r="H65" s="443"/>
      <c r="I65" s="443">
        <v>0</v>
      </c>
      <c r="J65" s="443"/>
      <c r="K65" s="443">
        <v>0</v>
      </c>
      <c r="L65" s="443"/>
      <c r="M65" s="443">
        <f t="shared" si="0"/>
        <v>0</v>
      </c>
      <c r="N65" s="443"/>
      <c r="O65" s="443">
        <v>0</v>
      </c>
      <c r="P65" s="798"/>
      <c r="Q65" s="1221"/>
    </row>
    <row r="66" spans="2:17" s="789" customFormat="1" ht="15.5">
      <c r="B66" s="795">
        <v>30152</v>
      </c>
      <c r="C66" s="444"/>
      <c r="D66" s="796" t="s">
        <v>1145</v>
      </c>
      <c r="E66" s="444"/>
      <c r="F66" s="443"/>
      <c r="G66" s="443">
        <v>0</v>
      </c>
      <c r="H66" s="443"/>
      <c r="I66" s="443">
        <v>0</v>
      </c>
      <c r="J66" s="443"/>
      <c r="K66" s="443">
        <v>0</v>
      </c>
      <c r="L66" s="443"/>
      <c r="M66" s="443">
        <f t="shared" si="0"/>
        <v>0</v>
      </c>
      <c r="N66" s="443"/>
      <c r="O66" s="443">
        <v>0</v>
      </c>
      <c r="P66" s="798"/>
      <c r="Q66" s="1221"/>
    </row>
    <row r="67" spans="2:17" s="789" customFormat="1" ht="15.5">
      <c r="B67" s="795">
        <v>30153</v>
      </c>
      <c r="C67" s="444"/>
      <c r="D67" s="796" t="s">
        <v>1146</v>
      </c>
      <c r="E67" s="444"/>
      <c r="F67" s="443"/>
      <c r="G67" s="443">
        <v>0</v>
      </c>
      <c r="H67" s="443"/>
      <c r="I67" s="443">
        <v>0</v>
      </c>
      <c r="J67" s="443"/>
      <c r="K67" s="443">
        <v>0</v>
      </c>
      <c r="L67" s="443"/>
      <c r="M67" s="443">
        <f t="shared" si="0"/>
        <v>0</v>
      </c>
      <c r="N67" s="443"/>
      <c r="O67" s="443">
        <v>0</v>
      </c>
      <c r="P67" s="798"/>
      <c r="Q67" s="1221"/>
    </row>
    <row r="68" spans="2:17" s="789" customFormat="1" ht="15.5">
      <c r="B68" s="795">
        <v>30154</v>
      </c>
      <c r="C68" s="444"/>
      <c r="D68" s="796" t="s">
        <v>1147</v>
      </c>
      <c r="E68" s="444"/>
      <c r="F68" s="443"/>
      <c r="G68" s="443">
        <v>0</v>
      </c>
      <c r="H68" s="443"/>
      <c r="I68" s="443">
        <v>0</v>
      </c>
      <c r="J68" s="443"/>
      <c r="K68" s="443">
        <v>0</v>
      </c>
      <c r="L68" s="443"/>
      <c r="M68" s="443">
        <f t="shared" si="0"/>
        <v>0</v>
      </c>
      <c r="N68" s="443"/>
      <c r="O68" s="443">
        <v>0</v>
      </c>
      <c r="P68" s="798"/>
      <c r="Q68" s="1221"/>
    </row>
    <row r="69" spans="2:17" s="789" customFormat="1" ht="15.5">
      <c r="B69" s="795">
        <v>30351</v>
      </c>
      <c r="C69" s="444"/>
      <c r="D69" s="796" t="s">
        <v>1148</v>
      </c>
      <c r="E69" s="444"/>
      <c r="F69" s="443"/>
      <c r="G69" s="443">
        <v>205962329.25</v>
      </c>
      <c r="H69" s="443"/>
      <c r="I69" s="443">
        <v>226595413.33000001</v>
      </c>
      <c r="J69" s="443"/>
      <c r="K69" s="443">
        <v>239880517.53999999</v>
      </c>
      <c r="L69" s="443"/>
      <c r="M69" s="443">
        <f t="shared" si="0"/>
        <v>20706291.450000018</v>
      </c>
      <c r="N69" s="443"/>
      <c r="O69" s="443">
        <v>260586808.99000001</v>
      </c>
      <c r="P69" s="798"/>
      <c r="Q69" s="1221"/>
    </row>
    <row r="70" spans="2:17" s="789" customFormat="1" ht="15.5">
      <c r="B70" s="795">
        <v>30501</v>
      </c>
      <c r="C70" s="444"/>
      <c r="D70" s="796" t="s">
        <v>1149</v>
      </c>
      <c r="E70" s="444"/>
      <c r="F70" s="443"/>
      <c r="G70" s="443">
        <v>0</v>
      </c>
      <c r="H70" s="443"/>
      <c r="I70" s="443">
        <v>0</v>
      </c>
      <c r="J70" s="443"/>
      <c r="K70" s="443">
        <v>0</v>
      </c>
      <c r="L70" s="443"/>
      <c r="M70" s="443">
        <f t="shared" si="0"/>
        <v>0</v>
      </c>
      <c r="N70" s="443"/>
      <c r="O70" s="443">
        <v>0</v>
      </c>
      <c r="P70" s="798"/>
      <c r="Q70" s="1221"/>
    </row>
    <row r="71" spans="2:17" s="789" customFormat="1" ht="15.5">
      <c r="B71" s="795">
        <v>30502</v>
      </c>
      <c r="C71" s="444"/>
      <c r="D71" s="796" t="s">
        <v>1150</v>
      </c>
      <c r="E71" s="444"/>
      <c r="F71" s="443"/>
      <c r="G71" s="443">
        <v>0</v>
      </c>
      <c r="H71" s="443"/>
      <c r="I71" s="443">
        <v>0</v>
      </c>
      <c r="J71" s="443"/>
      <c r="K71" s="443">
        <v>0</v>
      </c>
      <c r="L71" s="443"/>
      <c r="M71" s="443">
        <f t="shared" si="0"/>
        <v>0</v>
      </c>
      <c r="N71" s="443"/>
      <c r="O71" s="443">
        <v>0</v>
      </c>
      <c r="P71" s="798"/>
      <c r="Q71" s="1221"/>
    </row>
    <row r="72" spans="2:17" s="789" customFormat="1" ht="15.5">
      <c r="B72" s="795">
        <v>30503</v>
      </c>
      <c r="C72" s="444"/>
      <c r="D72" s="796" t="s">
        <v>1151</v>
      </c>
      <c r="E72" s="444"/>
      <c r="F72" s="443"/>
      <c r="G72" s="443">
        <v>0</v>
      </c>
      <c r="H72" s="443"/>
      <c r="I72" s="443">
        <v>0</v>
      </c>
      <c r="J72" s="443"/>
      <c r="K72" s="443">
        <v>0</v>
      </c>
      <c r="L72" s="443"/>
      <c r="M72" s="443">
        <f t="shared" si="0"/>
        <v>0</v>
      </c>
      <c r="N72" s="443"/>
      <c r="O72" s="443">
        <v>0</v>
      </c>
      <c r="P72" s="798"/>
      <c r="Q72" s="1221"/>
    </row>
    <row r="73" spans="2:17" s="789" customFormat="1" ht="15.5">
      <c r="B73" s="795">
        <v>30504</v>
      </c>
      <c r="C73" s="444"/>
      <c r="D73" s="796" t="s">
        <v>1152</v>
      </c>
      <c r="E73" s="444"/>
      <c r="F73" s="443"/>
      <c r="G73" s="443">
        <v>0</v>
      </c>
      <c r="H73" s="443"/>
      <c r="I73" s="443">
        <v>0</v>
      </c>
      <c r="J73" s="443"/>
      <c r="K73" s="443">
        <v>0</v>
      </c>
      <c r="L73" s="443"/>
      <c r="M73" s="443">
        <f t="shared" si="0"/>
        <v>0</v>
      </c>
      <c r="N73" s="443"/>
      <c r="O73" s="443">
        <v>0</v>
      </c>
      <c r="P73" s="798"/>
      <c r="Q73" s="1221"/>
    </row>
    <row r="74" spans="2:17" s="789" customFormat="1" ht="15.5">
      <c r="B74" s="795">
        <v>31506</v>
      </c>
      <c r="C74" s="802"/>
      <c r="D74" s="801" t="s">
        <v>1153</v>
      </c>
      <c r="E74" s="803"/>
      <c r="F74" s="443"/>
      <c r="G74" s="443">
        <v>178493437.63</v>
      </c>
      <c r="H74" s="443"/>
      <c r="I74" s="443">
        <v>185946397.81999999</v>
      </c>
      <c r="J74" s="443"/>
      <c r="K74" s="443">
        <v>190418425.22</v>
      </c>
      <c r="L74" s="443"/>
      <c r="M74" s="443">
        <f t="shared" si="0"/>
        <v>12380333.840000004</v>
      </c>
      <c r="N74" s="443"/>
      <c r="O74" s="443">
        <v>202798759.06</v>
      </c>
      <c r="P74" s="798"/>
      <c r="Q74" s="1221"/>
    </row>
    <row r="75" spans="2:17" s="789" customFormat="1" ht="15.5">
      <c r="B75" s="795">
        <v>31701</v>
      </c>
      <c r="C75" s="444"/>
      <c r="D75" s="796" t="s">
        <v>1154</v>
      </c>
      <c r="E75" s="444"/>
      <c r="F75" s="443"/>
      <c r="G75" s="443">
        <v>35999263.100000001</v>
      </c>
      <c r="H75" s="443"/>
      <c r="I75" s="443">
        <v>15507956.43</v>
      </c>
      <c r="J75" s="443"/>
      <c r="K75" s="443">
        <v>16254461.300000001</v>
      </c>
      <c r="L75" s="443"/>
      <c r="M75" s="443">
        <f t="shared" si="0"/>
        <v>1004321.3499999978</v>
      </c>
      <c r="N75" s="443"/>
      <c r="O75" s="443">
        <v>17258782.649999999</v>
      </c>
      <c r="P75" s="798"/>
      <c r="Q75" s="1221"/>
    </row>
    <row r="76" spans="2:17" s="789" customFormat="1" ht="15.5">
      <c r="B76" s="795">
        <v>31801</v>
      </c>
      <c r="C76" s="444"/>
      <c r="D76" s="796" t="s">
        <v>1155</v>
      </c>
      <c r="E76" s="444"/>
      <c r="F76" s="443"/>
      <c r="G76" s="443">
        <v>12941967.060000001</v>
      </c>
      <c r="H76" s="443"/>
      <c r="I76" s="443">
        <v>12941967.060000001</v>
      </c>
      <c r="J76" s="443"/>
      <c r="K76" s="443">
        <v>12941967.060000001</v>
      </c>
      <c r="L76" s="443"/>
      <c r="M76" s="443">
        <f t="shared" si="0"/>
        <v>0</v>
      </c>
      <c r="N76" s="443"/>
      <c r="O76" s="443">
        <v>12941967.060000001</v>
      </c>
      <c r="P76" s="798"/>
      <c r="Q76" s="1221"/>
    </row>
    <row r="77" spans="2:17" s="789" customFormat="1" ht="15.5">
      <c r="B77" s="795">
        <v>31851</v>
      </c>
      <c r="C77" s="444"/>
      <c r="D77" s="801" t="s">
        <v>1156</v>
      </c>
      <c r="E77" s="444"/>
      <c r="F77" s="443"/>
      <c r="G77" s="443">
        <v>562909778.59000003</v>
      </c>
      <c r="H77" s="443"/>
      <c r="I77" s="443">
        <v>723706937.59000003</v>
      </c>
      <c r="J77" s="443"/>
      <c r="K77" s="443">
        <v>846023750.80999994</v>
      </c>
      <c r="L77" s="443"/>
      <c r="M77" s="443">
        <f t="shared" si="0"/>
        <v>64566663</v>
      </c>
      <c r="N77" s="443"/>
      <c r="O77" s="443">
        <v>910590413.80999994</v>
      </c>
      <c r="P77" s="798"/>
      <c r="Q77" s="1221"/>
    </row>
    <row r="78" spans="2:17" s="789" customFormat="1" ht="15.5">
      <c r="B78" s="795">
        <v>31852</v>
      </c>
      <c r="C78" s="444"/>
      <c r="D78" s="796" t="s">
        <v>1157</v>
      </c>
      <c r="E78" s="444"/>
      <c r="F78" s="443"/>
      <c r="G78" s="443">
        <v>78988283.25</v>
      </c>
      <c r="H78" s="443"/>
      <c r="I78" s="443">
        <v>78988283.25</v>
      </c>
      <c r="J78" s="443"/>
      <c r="K78" s="443">
        <v>88299852.25</v>
      </c>
      <c r="L78" s="443"/>
      <c r="M78" s="443">
        <f t="shared" si="0"/>
        <v>4311569</v>
      </c>
      <c r="N78" s="443"/>
      <c r="O78" s="443">
        <v>92611421.25</v>
      </c>
      <c r="P78" s="798"/>
      <c r="Q78" s="1221"/>
    </row>
    <row r="79" spans="2:17" s="789" customFormat="1" ht="15.5">
      <c r="B79" s="795">
        <v>31853</v>
      </c>
      <c r="C79" s="444"/>
      <c r="D79" s="801" t="s">
        <v>1158</v>
      </c>
      <c r="E79" s="444"/>
      <c r="F79" s="443"/>
      <c r="G79" s="443">
        <v>347423671.52999997</v>
      </c>
      <c r="H79" s="443"/>
      <c r="I79" s="443">
        <v>375812921.52999997</v>
      </c>
      <c r="J79" s="443"/>
      <c r="K79" s="443">
        <v>354114748.38999999</v>
      </c>
      <c r="L79" s="443"/>
      <c r="M79" s="443">
        <f t="shared" ref="M79:M102" si="1">O79-K79</f>
        <v>0</v>
      </c>
      <c r="N79" s="443"/>
      <c r="O79" s="443">
        <v>354114748.38999999</v>
      </c>
      <c r="P79" s="798"/>
      <c r="Q79" s="1221"/>
    </row>
    <row r="80" spans="2:17" s="789" customFormat="1" ht="15.5">
      <c r="B80" s="795">
        <v>31854</v>
      </c>
      <c r="C80" s="444"/>
      <c r="D80" s="801" t="s">
        <v>1159</v>
      </c>
      <c r="E80" s="444"/>
      <c r="F80" s="443"/>
      <c r="G80" s="443">
        <v>0</v>
      </c>
      <c r="H80" s="443"/>
      <c r="I80" s="443">
        <v>0</v>
      </c>
      <c r="J80" s="443"/>
      <c r="K80" s="443">
        <v>0</v>
      </c>
      <c r="L80" s="443"/>
      <c r="M80" s="443">
        <f t="shared" si="1"/>
        <v>0</v>
      </c>
      <c r="N80" s="443"/>
      <c r="O80" s="443">
        <v>0</v>
      </c>
      <c r="P80" s="798"/>
      <c r="Q80" s="1221"/>
    </row>
    <row r="81" spans="2:17" s="789" customFormat="1" ht="15.5">
      <c r="B81" s="795">
        <v>31951</v>
      </c>
      <c r="C81" s="444"/>
      <c r="D81" s="801" t="s">
        <v>1160</v>
      </c>
      <c r="E81" s="444"/>
      <c r="F81" s="443"/>
      <c r="G81" s="443">
        <v>12015920.550000001</v>
      </c>
      <c r="H81" s="443"/>
      <c r="I81" s="443">
        <v>12015920.550000001</v>
      </c>
      <c r="J81" s="443"/>
      <c r="K81" s="443">
        <v>12015920.550000001</v>
      </c>
      <c r="L81" s="443"/>
      <c r="M81" s="443">
        <f t="shared" si="1"/>
        <v>0</v>
      </c>
      <c r="N81" s="443"/>
      <c r="O81" s="443">
        <v>12015920.550000001</v>
      </c>
      <c r="P81" s="798"/>
      <c r="Q81" s="1221"/>
    </row>
    <row r="82" spans="2:17" s="789" customFormat="1" ht="15.5">
      <c r="B82" s="795">
        <v>32213</v>
      </c>
      <c r="C82" s="444"/>
      <c r="D82" s="796" t="s">
        <v>1161</v>
      </c>
      <c r="E82" s="444"/>
      <c r="F82" s="443"/>
      <c r="G82" s="443">
        <v>153750</v>
      </c>
      <c r="H82" s="443"/>
      <c r="I82" s="443">
        <v>153750</v>
      </c>
      <c r="J82" s="443"/>
      <c r="K82" s="443">
        <v>153750</v>
      </c>
      <c r="L82" s="443"/>
      <c r="M82" s="443">
        <f t="shared" si="1"/>
        <v>0</v>
      </c>
      <c r="N82" s="443"/>
      <c r="O82" s="443">
        <v>153750</v>
      </c>
      <c r="P82" s="798"/>
      <c r="Q82" s="1221"/>
    </row>
    <row r="83" spans="2:17" s="789" customFormat="1" ht="15.5">
      <c r="B83" s="795">
        <v>32214</v>
      </c>
      <c r="C83" s="444"/>
      <c r="D83" s="796" t="s">
        <v>1162</v>
      </c>
      <c r="E83" s="444"/>
      <c r="F83" s="443"/>
      <c r="G83" s="443">
        <v>0</v>
      </c>
      <c r="H83" s="443"/>
      <c r="I83" s="443">
        <v>0</v>
      </c>
      <c r="J83" s="443"/>
      <c r="K83" s="443">
        <v>0</v>
      </c>
      <c r="L83" s="443"/>
      <c r="M83" s="443">
        <f t="shared" si="1"/>
        <v>0</v>
      </c>
      <c r="N83" s="443"/>
      <c r="O83" s="443">
        <v>0</v>
      </c>
      <c r="P83" s="798"/>
      <c r="Q83" s="1221"/>
    </row>
    <row r="84" spans="2:17" s="789" customFormat="1" ht="15.5">
      <c r="B84" s="795">
        <v>32215</v>
      </c>
      <c r="C84" s="444"/>
      <c r="D84" s="796" t="s">
        <v>1163</v>
      </c>
      <c r="E84" s="444"/>
      <c r="F84" s="443"/>
      <c r="G84" s="443">
        <v>1127.5899999999999</v>
      </c>
      <c r="H84" s="443"/>
      <c r="I84" s="443">
        <v>1132.06</v>
      </c>
      <c r="J84" s="443"/>
      <c r="K84" s="443">
        <v>1136.6099999999999</v>
      </c>
      <c r="L84" s="443"/>
      <c r="M84" s="443">
        <f t="shared" si="1"/>
        <v>4.3100000000001728</v>
      </c>
      <c r="N84" s="443"/>
      <c r="O84" s="443">
        <v>1140.92</v>
      </c>
      <c r="P84" s="798"/>
      <c r="Q84" s="1221"/>
    </row>
    <row r="85" spans="2:17" s="789" customFormat="1" ht="15.5">
      <c r="B85" s="795">
        <v>32219</v>
      </c>
      <c r="C85" s="444"/>
      <c r="D85" s="796" t="s">
        <v>1164</v>
      </c>
      <c r="E85" s="444"/>
      <c r="F85" s="443"/>
      <c r="G85" s="443">
        <v>0</v>
      </c>
      <c r="H85" s="443"/>
      <c r="I85" s="443">
        <v>0</v>
      </c>
      <c r="J85" s="443"/>
      <c r="K85" s="443">
        <v>0</v>
      </c>
      <c r="L85" s="443"/>
      <c r="M85" s="443">
        <f t="shared" si="1"/>
        <v>0</v>
      </c>
      <c r="N85" s="443"/>
      <c r="O85" s="443">
        <v>0</v>
      </c>
      <c r="P85" s="798"/>
      <c r="Q85" s="1221"/>
    </row>
    <row r="86" spans="2:17" s="789" customFormat="1" ht="15.5">
      <c r="B86" s="795">
        <v>32229</v>
      </c>
      <c r="C86" s="444"/>
      <c r="D86" s="796" t="s">
        <v>1543</v>
      </c>
      <c r="E86" s="444"/>
      <c r="F86" s="443"/>
      <c r="G86" s="443">
        <v>63312373.32</v>
      </c>
      <c r="H86" s="443"/>
      <c r="I86" s="443">
        <v>60715964.829999998</v>
      </c>
      <c r="J86" s="443"/>
      <c r="K86" s="443">
        <v>58145412.340000004</v>
      </c>
      <c r="L86" s="443"/>
      <c r="M86" s="443">
        <f t="shared" ref="M86" si="2">O86-K86</f>
        <v>-2576699.5400000066</v>
      </c>
      <c r="N86" s="443"/>
      <c r="O86" s="443">
        <v>55568712.799999997</v>
      </c>
      <c r="P86" s="798"/>
      <c r="Q86" s="1221"/>
    </row>
    <row r="87" spans="2:17" s="789" customFormat="1" ht="15.5">
      <c r="B87" s="795">
        <v>32230</v>
      </c>
      <c r="C87" s="444"/>
      <c r="D87" s="796" t="s">
        <v>1489</v>
      </c>
      <c r="E87" s="444"/>
      <c r="F87" s="443"/>
      <c r="G87" s="443">
        <v>2920717.71</v>
      </c>
      <c r="H87" s="443"/>
      <c r="I87" s="443">
        <v>3350389.86</v>
      </c>
      <c r="J87" s="443"/>
      <c r="K87" s="443">
        <v>3962294.12</v>
      </c>
      <c r="L87" s="443"/>
      <c r="M87" s="443">
        <f t="shared" si="1"/>
        <v>324634.95999999996</v>
      </c>
      <c r="N87" s="443"/>
      <c r="O87" s="443">
        <v>4286929.08</v>
      </c>
      <c r="P87" s="798"/>
      <c r="Q87" s="1221"/>
    </row>
    <row r="88" spans="2:17" s="789" customFormat="1" ht="15.5">
      <c r="B88" s="795">
        <v>32301</v>
      </c>
      <c r="C88" s="444"/>
      <c r="D88" s="796" t="s">
        <v>1165</v>
      </c>
      <c r="E88" s="444"/>
      <c r="F88" s="443"/>
      <c r="G88" s="443">
        <v>0</v>
      </c>
      <c r="H88" s="443"/>
      <c r="I88" s="443">
        <v>0</v>
      </c>
      <c r="J88" s="443"/>
      <c r="K88" s="443">
        <v>0</v>
      </c>
      <c r="L88" s="443"/>
      <c r="M88" s="443">
        <f t="shared" si="1"/>
        <v>0</v>
      </c>
      <c r="N88" s="443"/>
      <c r="O88" s="443">
        <v>0</v>
      </c>
      <c r="P88" s="798"/>
      <c r="Q88" s="1221"/>
    </row>
    <row r="89" spans="2:17" s="789" customFormat="1" ht="15.5">
      <c r="B89" s="795">
        <v>32302</v>
      </c>
      <c r="C89" s="444"/>
      <c r="D89" s="796" t="s">
        <v>1166</v>
      </c>
      <c r="E89" s="444"/>
      <c r="F89" s="443"/>
      <c r="G89" s="443">
        <v>0</v>
      </c>
      <c r="H89" s="443"/>
      <c r="I89" s="443">
        <v>0</v>
      </c>
      <c r="J89" s="443"/>
      <c r="K89" s="443">
        <v>0</v>
      </c>
      <c r="L89" s="443"/>
      <c r="M89" s="443">
        <f t="shared" si="1"/>
        <v>0</v>
      </c>
      <c r="N89" s="443"/>
      <c r="O89" s="443">
        <v>0</v>
      </c>
      <c r="P89" s="798"/>
      <c r="Q89" s="1221"/>
    </row>
    <row r="90" spans="2:17" s="789" customFormat="1" ht="15.5">
      <c r="B90" s="795">
        <v>32303</v>
      </c>
      <c r="C90" s="444"/>
      <c r="D90" s="796" t="s">
        <v>1167</v>
      </c>
      <c r="E90" s="803"/>
      <c r="F90" s="443"/>
      <c r="G90" s="443">
        <v>155096792.56999999</v>
      </c>
      <c r="H90" s="443"/>
      <c r="I90" s="443">
        <v>158855581.06</v>
      </c>
      <c r="J90" s="443"/>
      <c r="K90" s="443">
        <v>164062264.77000001</v>
      </c>
      <c r="L90" s="443"/>
      <c r="M90" s="443">
        <f t="shared" si="1"/>
        <v>7025301.1599999964</v>
      </c>
      <c r="N90" s="443"/>
      <c r="O90" s="443">
        <v>171087565.93000001</v>
      </c>
      <c r="P90" s="798"/>
      <c r="Q90" s="1221"/>
    </row>
    <row r="91" spans="2:17" s="789" customFormat="1" ht="15.5">
      <c r="B91" s="795">
        <v>32304</v>
      </c>
      <c r="C91" s="444"/>
      <c r="D91" s="796" t="s">
        <v>1168</v>
      </c>
      <c r="E91" s="803"/>
      <c r="F91" s="443"/>
      <c r="G91" s="443">
        <v>0</v>
      </c>
      <c r="H91" s="443"/>
      <c r="I91" s="443">
        <v>0</v>
      </c>
      <c r="J91" s="443"/>
      <c r="K91" s="443">
        <v>0</v>
      </c>
      <c r="L91" s="443"/>
      <c r="M91" s="443">
        <f t="shared" si="1"/>
        <v>0</v>
      </c>
      <c r="N91" s="443"/>
      <c r="O91" s="443">
        <v>0</v>
      </c>
      <c r="P91" s="798"/>
      <c r="Q91" s="1221"/>
    </row>
    <row r="92" spans="2:17" s="789" customFormat="1" ht="15.5">
      <c r="B92" s="795">
        <v>32305</v>
      </c>
      <c r="C92" s="444"/>
      <c r="D92" s="796" t="s">
        <v>1169</v>
      </c>
      <c r="E92" s="803"/>
      <c r="F92" s="443"/>
      <c r="G92" s="443">
        <v>284414314.43000001</v>
      </c>
      <c r="H92" s="443"/>
      <c r="I92" s="443">
        <v>287353614.80000001</v>
      </c>
      <c r="J92" s="443"/>
      <c r="K92" s="443">
        <v>289473614.80000001</v>
      </c>
      <c r="L92" s="443"/>
      <c r="M92" s="443">
        <f t="shared" si="1"/>
        <v>10166682.539999962</v>
      </c>
      <c r="N92" s="443"/>
      <c r="O92" s="443">
        <v>299640297.33999997</v>
      </c>
      <c r="P92" s="798"/>
      <c r="Q92" s="1221"/>
    </row>
    <row r="93" spans="2:17" s="789" customFormat="1" ht="15.5">
      <c r="B93" s="795">
        <v>32306</v>
      </c>
      <c r="C93" s="444"/>
      <c r="D93" s="796" t="s">
        <v>1170</v>
      </c>
      <c r="E93" s="803"/>
      <c r="F93" s="443"/>
      <c r="G93" s="443">
        <v>0</v>
      </c>
      <c r="H93" s="443"/>
      <c r="I93" s="443">
        <v>0</v>
      </c>
      <c r="J93" s="443"/>
      <c r="K93" s="443">
        <v>0</v>
      </c>
      <c r="L93" s="443"/>
      <c r="M93" s="443">
        <f t="shared" si="1"/>
        <v>0</v>
      </c>
      <c r="N93" s="443"/>
      <c r="O93" s="443">
        <v>0</v>
      </c>
      <c r="P93" s="798"/>
      <c r="Q93" s="1221"/>
    </row>
    <row r="94" spans="2:17" s="789" customFormat="1" ht="15.5">
      <c r="B94" s="795">
        <v>32307</v>
      </c>
      <c r="C94" s="444"/>
      <c r="D94" s="801" t="s">
        <v>1171</v>
      </c>
      <c r="E94" s="803"/>
      <c r="F94" s="443"/>
      <c r="G94" s="443">
        <v>16150448.210000001</v>
      </c>
      <c r="H94" s="443"/>
      <c r="I94" s="443">
        <v>16150448.210000001</v>
      </c>
      <c r="J94" s="443"/>
      <c r="K94" s="443">
        <v>16150448.210000001</v>
      </c>
      <c r="L94" s="443"/>
      <c r="M94" s="443">
        <f t="shared" si="1"/>
        <v>0</v>
      </c>
      <c r="N94" s="443"/>
      <c r="O94" s="443">
        <v>16150448.210000001</v>
      </c>
      <c r="P94" s="798"/>
      <c r="Q94" s="1221"/>
    </row>
    <row r="95" spans="2:17" s="789" customFormat="1" ht="15.5">
      <c r="B95" s="795">
        <v>32308</v>
      </c>
      <c r="C95" s="444"/>
      <c r="D95" s="801" t="s">
        <v>1172</v>
      </c>
      <c r="E95" s="803"/>
      <c r="F95" s="443"/>
      <c r="G95" s="443">
        <v>2481048.15</v>
      </c>
      <c r="H95" s="443"/>
      <c r="I95" s="443">
        <v>2481048.15</v>
      </c>
      <c r="J95" s="443"/>
      <c r="K95" s="443">
        <v>2481048.15</v>
      </c>
      <c r="L95" s="443"/>
      <c r="M95" s="443">
        <f t="shared" si="1"/>
        <v>500000</v>
      </c>
      <c r="N95" s="443"/>
      <c r="O95" s="443">
        <v>2981048.15</v>
      </c>
      <c r="P95" s="798"/>
      <c r="Q95" s="1221"/>
    </row>
    <row r="96" spans="2:17" s="789" customFormat="1" ht="15.5">
      <c r="B96" s="795">
        <v>32309</v>
      </c>
      <c r="C96" s="444"/>
      <c r="D96" s="801" t="s">
        <v>1173</v>
      </c>
      <c r="E96" s="803"/>
      <c r="F96" s="443"/>
      <c r="G96" s="443">
        <v>282789546.17000002</v>
      </c>
      <c r="H96" s="443"/>
      <c r="I96" s="443">
        <v>299368401.63999999</v>
      </c>
      <c r="J96" s="443"/>
      <c r="K96" s="443">
        <v>327376315.79000002</v>
      </c>
      <c r="L96" s="443"/>
      <c r="M96" s="443">
        <f t="shared" si="1"/>
        <v>20291308.370000005</v>
      </c>
      <c r="N96" s="443"/>
      <c r="O96" s="443">
        <v>347667624.16000003</v>
      </c>
      <c r="P96" s="798"/>
      <c r="Q96" s="1221"/>
    </row>
    <row r="97" spans="2:17" s="789" customFormat="1" ht="15.5">
      <c r="B97" s="795">
        <v>32310</v>
      </c>
      <c r="C97" s="444"/>
      <c r="D97" s="801" t="s">
        <v>1174</v>
      </c>
      <c r="E97" s="803"/>
      <c r="F97" s="443"/>
      <c r="G97" s="443">
        <v>42132839.57</v>
      </c>
      <c r="H97" s="443"/>
      <c r="I97" s="443">
        <v>43176231.439999998</v>
      </c>
      <c r="J97" s="443"/>
      <c r="K97" s="443">
        <v>46164948.719999999</v>
      </c>
      <c r="L97" s="443"/>
      <c r="M97" s="443">
        <f t="shared" si="1"/>
        <v>1149193.1899999976</v>
      </c>
      <c r="N97" s="443"/>
      <c r="O97" s="443">
        <v>47314141.909999996</v>
      </c>
      <c r="P97" s="798"/>
      <c r="Q97" s="1221"/>
    </row>
    <row r="98" spans="2:17" s="789" customFormat="1" ht="15.5">
      <c r="B98" s="795">
        <v>32311</v>
      </c>
      <c r="C98" s="444"/>
      <c r="D98" s="967" t="s">
        <v>1175</v>
      </c>
      <c r="E98" s="803"/>
      <c r="F98" s="443"/>
      <c r="G98" s="443">
        <v>9482801.4199999999</v>
      </c>
      <c r="H98" s="443"/>
      <c r="I98" s="443">
        <v>10464058.57</v>
      </c>
      <c r="J98" s="443"/>
      <c r="K98" s="443">
        <v>11932477.890000001</v>
      </c>
      <c r="L98" s="443"/>
      <c r="M98" s="443">
        <f t="shared" si="1"/>
        <v>1140474.9100000001</v>
      </c>
      <c r="N98" s="443"/>
      <c r="O98" s="443">
        <v>13072952.800000001</v>
      </c>
      <c r="P98" s="798"/>
      <c r="Q98" s="1221"/>
    </row>
    <row r="99" spans="2:17" s="789" customFormat="1" ht="15.5">
      <c r="B99" s="795">
        <v>32351</v>
      </c>
      <c r="C99" s="778"/>
      <c r="D99" s="801" t="s">
        <v>1176</v>
      </c>
      <c r="E99" s="803"/>
      <c r="F99" s="443"/>
      <c r="G99" s="443">
        <v>0</v>
      </c>
      <c r="H99" s="443"/>
      <c r="I99" s="443">
        <v>0</v>
      </c>
      <c r="J99" s="443"/>
      <c r="K99" s="443">
        <v>0</v>
      </c>
      <c r="L99" s="443"/>
      <c r="M99" s="443">
        <f t="shared" si="1"/>
        <v>0</v>
      </c>
      <c r="N99" s="443"/>
      <c r="O99" s="443">
        <v>0</v>
      </c>
      <c r="P99" s="798"/>
      <c r="Q99" s="1221"/>
    </row>
    <row r="100" spans="2:17" s="789" customFormat="1" ht="15.5">
      <c r="B100" s="795">
        <v>32352</v>
      </c>
      <c r="C100" s="444"/>
      <c r="D100" s="796" t="s">
        <v>1177</v>
      </c>
      <c r="E100" s="803"/>
      <c r="F100" s="443"/>
      <c r="G100" s="443">
        <v>408541547.14999998</v>
      </c>
      <c r="H100" s="443"/>
      <c r="I100" s="443">
        <v>448704715.67000002</v>
      </c>
      <c r="J100" s="443"/>
      <c r="K100" s="443">
        <v>471410308.38</v>
      </c>
      <c r="L100" s="443"/>
      <c r="M100" s="443">
        <f t="shared" si="1"/>
        <v>37125659.800000012</v>
      </c>
      <c r="N100" s="443"/>
      <c r="O100" s="443">
        <v>508535968.18000001</v>
      </c>
      <c r="P100" s="798"/>
      <c r="Q100" s="1221"/>
    </row>
    <row r="101" spans="2:17" s="789" customFormat="1" ht="15.5">
      <c r="B101" s="795">
        <v>32353</v>
      </c>
      <c r="C101" s="778"/>
      <c r="D101" s="796" t="s">
        <v>1178</v>
      </c>
      <c r="E101" s="803"/>
      <c r="F101" s="443"/>
      <c r="G101" s="443">
        <v>0</v>
      </c>
      <c r="H101" s="443"/>
      <c r="I101" s="443">
        <v>0</v>
      </c>
      <c r="J101" s="443"/>
      <c r="K101" s="443">
        <v>0</v>
      </c>
      <c r="L101" s="443"/>
      <c r="M101" s="443">
        <f t="shared" si="1"/>
        <v>0</v>
      </c>
      <c r="N101" s="443"/>
      <c r="O101" s="443">
        <v>0</v>
      </c>
      <c r="P101" s="798"/>
      <c r="Q101" s="1221"/>
    </row>
    <row r="102" spans="2:17" s="789" customFormat="1" ht="15.5">
      <c r="B102" s="795">
        <v>33001</v>
      </c>
      <c r="C102" s="444"/>
      <c r="D102" s="796" t="s">
        <v>1179</v>
      </c>
      <c r="E102" s="803"/>
      <c r="F102" s="443"/>
      <c r="G102" s="443">
        <v>32820817.859999999</v>
      </c>
      <c r="H102" s="443"/>
      <c r="I102" s="443">
        <v>32820817.859999999</v>
      </c>
      <c r="J102" s="443"/>
      <c r="K102" s="443">
        <v>32820817.859999999</v>
      </c>
      <c r="L102" s="443"/>
      <c r="M102" s="443">
        <f t="shared" si="1"/>
        <v>0</v>
      </c>
      <c r="N102" s="443"/>
      <c r="O102" s="443">
        <v>32820817.859999999</v>
      </c>
      <c r="P102" s="798"/>
      <c r="Q102" s="1221"/>
    </row>
    <row r="103" spans="2:17" s="789" customFormat="1" ht="16" thickBot="1">
      <c r="B103" s="804"/>
      <c r="C103" s="805"/>
      <c r="D103" s="799" t="s">
        <v>1180</v>
      </c>
      <c r="E103" s="793"/>
      <c r="F103" s="793"/>
      <c r="G103" s="1743">
        <f>SUM(G14:G102)</f>
        <v>2748568180.0200005</v>
      </c>
      <c r="H103" s="1744"/>
      <c r="I103" s="1743">
        <f>SUM(I14:I102)</f>
        <v>3088764921.0700002</v>
      </c>
      <c r="J103" s="1744"/>
      <c r="K103" s="1743">
        <f>SUM(K14:K102)</f>
        <v>3269155823.8499994</v>
      </c>
      <c r="L103"/>
      <c r="M103" s="1743">
        <f>SUM(M14:M102)</f>
        <v>161244654.06999999</v>
      </c>
      <c r="N103"/>
      <c r="O103" s="1743">
        <f>SUM(O14:O102)</f>
        <v>3430400477.9199996</v>
      </c>
      <c r="P103" s="798"/>
      <c r="Q103" s="1221"/>
    </row>
    <row r="104" spans="2:17" s="789" customFormat="1" ht="16" thickTop="1">
      <c r="B104" s="794"/>
      <c r="C104" s="794"/>
      <c r="D104" s="806"/>
      <c r="E104" s="794"/>
      <c r="F104" s="794"/>
      <c r="G104" s="938"/>
      <c r="H104" s="276"/>
      <c r="I104" s="938"/>
      <c r="J104" s="276"/>
      <c r="K104" s="938"/>
      <c r="L104" s="276"/>
      <c r="M104" s="1745"/>
      <c r="N104" s="276"/>
      <c r="O104" s="938"/>
      <c r="P104" s="807"/>
      <c r="Q104" s="1221"/>
    </row>
    <row r="105" spans="2:17" s="789" customFormat="1" ht="15.5">
      <c r="B105" s="790"/>
      <c r="C105" s="805"/>
      <c r="D105" s="808" t="s">
        <v>1181</v>
      </c>
      <c r="E105" s="809"/>
      <c r="F105" s="809"/>
      <c r="G105" s="939"/>
      <c r="H105" s="1746"/>
      <c r="I105" s="939"/>
      <c r="J105" s="1746"/>
      <c r="K105" s="939"/>
      <c r="L105" s="1746"/>
      <c r="M105" s="1744"/>
      <c r="N105" s="1744"/>
      <c r="O105" s="939"/>
      <c r="P105" s="794"/>
      <c r="Q105" s="1221"/>
    </row>
    <row r="106" spans="2:17" s="789" customFormat="1" ht="15.5">
      <c r="B106" s="795">
        <v>20401</v>
      </c>
      <c r="C106" s="805"/>
      <c r="D106" s="796" t="s">
        <v>1182</v>
      </c>
      <c r="E106" s="809"/>
      <c r="F106" s="809"/>
      <c r="G106" s="443">
        <v>0</v>
      </c>
      <c r="H106" s="443"/>
      <c r="I106" s="443">
        <v>0</v>
      </c>
      <c r="J106" s="443"/>
      <c r="K106" s="443">
        <v>0</v>
      </c>
      <c r="L106" s="443"/>
      <c r="M106" s="443">
        <f t="shared" ref="M106:M169" si="3">O106-K106</f>
        <v>0</v>
      </c>
      <c r="N106" s="443"/>
      <c r="O106" s="443">
        <v>0</v>
      </c>
      <c r="P106" s="794"/>
      <c r="Q106" s="1221"/>
    </row>
    <row r="107" spans="2:17" s="789" customFormat="1" ht="15.5">
      <c r="B107" s="795">
        <v>20501</v>
      </c>
      <c r="C107" s="810"/>
      <c r="D107" s="796" t="s">
        <v>1183</v>
      </c>
      <c r="E107" s="811"/>
      <c r="F107" s="811"/>
      <c r="G107" s="443">
        <v>0</v>
      </c>
      <c r="H107" s="443"/>
      <c r="I107" s="443">
        <v>0</v>
      </c>
      <c r="J107" s="443"/>
      <c r="K107" s="443">
        <v>0</v>
      </c>
      <c r="L107" s="443"/>
      <c r="M107" s="443">
        <f t="shared" si="3"/>
        <v>0</v>
      </c>
      <c r="N107" s="443"/>
      <c r="O107" s="443">
        <v>0</v>
      </c>
      <c r="P107" s="798"/>
      <c r="Q107" s="1221"/>
    </row>
    <row r="108" spans="2:17" s="789" customFormat="1" ht="15.5">
      <c r="B108" s="795">
        <v>20810</v>
      </c>
      <c r="C108" s="802"/>
      <c r="D108" s="796" t="s">
        <v>1184</v>
      </c>
      <c r="E108" s="803"/>
      <c r="F108" s="803"/>
      <c r="G108" s="443">
        <v>140397469.11000001</v>
      </c>
      <c r="H108" s="443"/>
      <c r="I108" s="443">
        <v>0</v>
      </c>
      <c r="J108" s="443"/>
      <c r="K108" s="443">
        <v>0</v>
      </c>
      <c r="L108" s="443"/>
      <c r="M108" s="443">
        <f t="shared" si="3"/>
        <v>20826914.25</v>
      </c>
      <c r="N108" s="443"/>
      <c r="O108" s="443">
        <v>20826914.25</v>
      </c>
      <c r="P108" s="695"/>
      <c r="Q108" s="1221"/>
    </row>
    <row r="109" spans="2:17" s="789" customFormat="1" ht="15.5">
      <c r="B109" s="795">
        <v>20818</v>
      </c>
      <c r="C109" s="802"/>
      <c r="D109" s="796" t="s">
        <v>1185</v>
      </c>
      <c r="E109" s="803"/>
      <c r="F109" s="803"/>
      <c r="G109" s="443">
        <v>0</v>
      </c>
      <c r="H109" s="443"/>
      <c r="I109" s="443">
        <v>0</v>
      </c>
      <c r="J109" s="443"/>
      <c r="K109" s="443">
        <v>0</v>
      </c>
      <c r="L109" s="443"/>
      <c r="M109" s="443">
        <f t="shared" si="3"/>
        <v>0</v>
      </c>
      <c r="N109" s="443"/>
      <c r="O109" s="443">
        <v>0</v>
      </c>
      <c r="P109" s="695"/>
      <c r="Q109" s="1221"/>
    </row>
    <row r="110" spans="2:17" s="789" customFormat="1" ht="15.5">
      <c r="B110" s="795">
        <v>20901</v>
      </c>
      <c r="C110" s="802"/>
      <c r="D110" s="796" t="s">
        <v>1186</v>
      </c>
      <c r="E110" s="803"/>
      <c r="F110" s="803"/>
      <c r="G110" s="443">
        <v>874240476.65999997</v>
      </c>
      <c r="H110" s="443"/>
      <c r="I110" s="443">
        <v>711093907.12</v>
      </c>
      <c r="J110" s="443"/>
      <c r="K110" s="443">
        <v>506020235.57999998</v>
      </c>
      <c r="L110" s="443"/>
      <c r="M110" s="443">
        <f t="shared" si="3"/>
        <v>-148813406.27999997</v>
      </c>
      <c r="N110" s="443"/>
      <c r="O110" s="443">
        <v>357206829.30000001</v>
      </c>
      <c r="P110" s="695"/>
      <c r="Q110" s="1221"/>
    </row>
    <row r="111" spans="2:17" s="789" customFormat="1" ht="15.5">
      <c r="B111" s="795">
        <v>20904</v>
      </c>
      <c r="C111" s="802"/>
      <c r="D111" s="796" t="s">
        <v>1187</v>
      </c>
      <c r="E111" s="803"/>
      <c r="F111" s="803"/>
      <c r="G111" s="443">
        <v>0</v>
      </c>
      <c r="H111" s="443"/>
      <c r="I111" s="443">
        <v>0</v>
      </c>
      <c r="J111" s="443"/>
      <c r="K111" s="443">
        <v>0</v>
      </c>
      <c r="L111" s="443"/>
      <c r="M111" s="443">
        <f t="shared" si="3"/>
        <v>0</v>
      </c>
      <c r="N111" s="443"/>
      <c r="O111" s="443">
        <v>0</v>
      </c>
      <c r="P111" s="695"/>
      <c r="Q111" s="1221"/>
    </row>
    <row r="112" spans="2:17" s="789" customFormat="1" ht="15.5">
      <c r="B112" s="795">
        <v>21001</v>
      </c>
      <c r="C112" s="802"/>
      <c r="D112" s="796" t="s">
        <v>1188</v>
      </c>
      <c r="E112" s="803"/>
      <c r="F112" s="803"/>
      <c r="G112" s="443">
        <v>0</v>
      </c>
      <c r="H112" s="443"/>
      <c r="I112" s="443">
        <v>0</v>
      </c>
      <c r="J112" s="443"/>
      <c r="K112" s="443">
        <v>0</v>
      </c>
      <c r="L112" s="443"/>
      <c r="M112" s="443">
        <f t="shared" si="3"/>
        <v>0</v>
      </c>
      <c r="N112" s="443"/>
      <c r="O112" s="443">
        <v>0</v>
      </c>
      <c r="P112" s="695"/>
      <c r="Q112" s="1221"/>
    </row>
    <row r="113" spans="2:17" s="789" customFormat="1" ht="15.5">
      <c r="B113" s="795">
        <v>21002</v>
      </c>
      <c r="C113" s="802"/>
      <c r="D113" s="796" t="s">
        <v>1189</v>
      </c>
      <c r="E113" s="803"/>
      <c r="F113" s="803"/>
      <c r="G113" s="443">
        <v>16473.87</v>
      </c>
      <c r="H113" s="443"/>
      <c r="I113" s="443">
        <v>51398.6</v>
      </c>
      <c r="J113" s="443"/>
      <c r="K113" s="443">
        <v>79699.070000000007</v>
      </c>
      <c r="L113" s="443"/>
      <c r="M113" s="443">
        <f t="shared" si="3"/>
        <v>29099.12999999999</v>
      </c>
      <c r="N113" s="443"/>
      <c r="O113" s="443">
        <v>108798.2</v>
      </c>
      <c r="P113" s="695"/>
      <c r="Q113" s="1221"/>
    </row>
    <row r="114" spans="2:17" s="789" customFormat="1" ht="15.5">
      <c r="B114" s="795">
        <v>21061</v>
      </c>
      <c r="C114" s="802"/>
      <c r="D114" s="796" t="s">
        <v>1190</v>
      </c>
      <c r="E114" s="803"/>
      <c r="F114" s="803"/>
      <c r="G114" s="443">
        <v>0</v>
      </c>
      <c r="H114" s="443"/>
      <c r="I114" s="443">
        <v>0</v>
      </c>
      <c r="J114" s="443"/>
      <c r="K114" s="443">
        <v>0</v>
      </c>
      <c r="L114" s="443"/>
      <c r="M114" s="443">
        <f t="shared" si="3"/>
        <v>0</v>
      </c>
      <c r="N114" s="443"/>
      <c r="O114" s="443">
        <v>0</v>
      </c>
      <c r="P114" s="695"/>
      <c r="Q114" s="1221"/>
    </row>
    <row r="115" spans="2:17" s="789" customFormat="1" ht="15.5">
      <c r="B115" s="795">
        <v>21064</v>
      </c>
      <c r="C115" s="802"/>
      <c r="D115" s="796" t="s">
        <v>1191</v>
      </c>
      <c r="E115" s="803"/>
      <c r="F115" s="803"/>
      <c r="G115" s="443">
        <v>418.66</v>
      </c>
      <c r="H115" s="443"/>
      <c r="I115" s="443">
        <v>418.66</v>
      </c>
      <c r="J115" s="443"/>
      <c r="K115" s="443">
        <v>418.66</v>
      </c>
      <c r="L115" s="443"/>
      <c r="M115" s="443">
        <f t="shared" si="3"/>
        <v>1685200</v>
      </c>
      <c r="N115" s="443"/>
      <c r="O115" s="443">
        <v>1685618.66</v>
      </c>
      <c r="P115" s="695"/>
      <c r="Q115" s="1221"/>
    </row>
    <row r="116" spans="2:17" s="789" customFormat="1" ht="15.5">
      <c r="B116" s="795">
        <v>21065</v>
      </c>
      <c r="C116" s="802"/>
      <c r="D116" s="796" t="s">
        <v>1192</v>
      </c>
      <c r="E116" s="803"/>
      <c r="F116" s="803"/>
      <c r="G116" s="443">
        <v>0</v>
      </c>
      <c r="H116" s="443"/>
      <c r="I116" s="443">
        <v>0</v>
      </c>
      <c r="J116" s="443"/>
      <c r="K116" s="443">
        <v>0</v>
      </c>
      <c r="L116" s="443"/>
      <c r="M116" s="443">
        <f t="shared" si="3"/>
        <v>0</v>
      </c>
      <c r="N116" s="443"/>
      <c r="O116" s="443">
        <v>0</v>
      </c>
      <c r="P116" s="695"/>
      <c r="Q116" s="1221"/>
    </row>
    <row r="117" spans="2:17" s="789" customFormat="1" ht="15.5">
      <c r="B117" s="795">
        <v>21066</v>
      </c>
      <c r="C117" s="802"/>
      <c r="D117" s="801" t="s">
        <v>1193</v>
      </c>
      <c r="E117" s="803"/>
      <c r="F117" s="803"/>
      <c r="G117" s="443">
        <v>670724.81999999995</v>
      </c>
      <c r="H117" s="443"/>
      <c r="I117" s="443">
        <v>1048934.6499999999</v>
      </c>
      <c r="J117" s="443"/>
      <c r="K117" s="443">
        <v>1224855.83</v>
      </c>
      <c r="L117" s="443"/>
      <c r="M117" s="443">
        <f t="shared" si="3"/>
        <v>160445.77000000002</v>
      </c>
      <c r="N117" s="443"/>
      <c r="O117" s="443">
        <v>1385301.6</v>
      </c>
      <c r="P117" s="695"/>
      <c r="Q117" s="1221"/>
    </row>
    <row r="118" spans="2:17" s="789" customFormat="1" ht="15.5">
      <c r="B118" s="795">
        <v>21067</v>
      </c>
      <c r="C118" s="802"/>
      <c r="D118" s="801" t="s">
        <v>1194</v>
      </c>
      <c r="E118" s="803"/>
      <c r="F118" s="803"/>
      <c r="G118" s="443">
        <v>0</v>
      </c>
      <c r="H118" s="443"/>
      <c r="I118" s="443">
        <v>0</v>
      </c>
      <c r="J118" s="443"/>
      <c r="K118" s="443">
        <v>0</v>
      </c>
      <c r="L118" s="443"/>
      <c r="M118" s="443">
        <f t="shared" si="3"/>
        <v>0</v>
      </c>
      <c r="N118" s="443"/>
      <c r="O118" s="443">
        <v>0</v>
      </c>
      <c r="P118" s="695"/>
      <c r="Q118" s="1221"/>
    </row>
    <row r="119" spans="2:17" s="789" customFormat="1" ht="15.5">
      <c r="B119" s="795">
        <v>21077</v>
      </c>
      <c r="C119" s="802"/>
      <c r="D119" s="796" t="s">
        <v>1195</v>
      </c>
      <c r="E119" s="803"/>
      <c r="F119" s="803"/>
      <c r="G119" s="443">
        <v>0</v>
      </c>
      <c r="H119" s="443"/>
      <c r="I119" s="443">
        <v>0</v>
      </c>
      <c r="J119" s="443"/>
      <c r="K119" s="443">
        <v>0</v>
      </c>
      <c r="L119" s="443"/>
      <c r="M119" s="443">
        <f t="shared" si="3"/>
        <v>0</v>
      </c>
      <c r="N119" s="443"/>
      <c r="O119" s="443">
        <v>0</v>
      </c>
      <c r="P119" s="695"/>
      <c r="Q119" s="1221"/>
    </row>
    <row r="120" spans="2:17" s="789" customFormat="1" ht="15.5">
      <c r="B120" s="795">
        <v>21081</v>
      </c>
      <c r="C120" s="802"/>
      <c r="D120" s="801" t="s">
        <v>1196</v>
      </c>
      <c r="E120" s="803"/>
      <c r="F120" s="803"/>
      <c r="G120" s="443">
        <v>100750330.23999999</v>
      </c>
      <c r="H120" s="443"/>
      <c r="I120" s="443">
        <v>99908132.530000001</v>
      </c>
      <c r="J120" s="443"/>
      <c r="K120" s="443">
        <v>97908180.879999995</v>
      </c>
      <c r="L120" s="443"/>
      <c r="M120" s="443">
        <f t="shared" si="3"/>
        <v>210908.78000000119</v>
      </c>
      <c r="N120" s="443"/>
      <c r="O120" s="443">
        <v>98119089.659999996</v>
      </c>
      <c r="P120" s="695"/>
      <c r="Q120" s="1221"/>
    </row>
    <row r="121" spans="2:17" s="789" customFormat="1" ht="15.5">
      <c r="B121" s="795">
        <v>21082</v>
      </c>
      <c r="C121" s="802"/>
      <c r="D121" s="796" t="s">
        <v>1197</v>
      </c>
      <c r="E121" s="803"/>
      <c r="F121" s="803"/>
      <c r="G121" s="443">
        <v>3620553.07</v>
      </c>
      <c r="H121" s="443"/>
      <c r="I121" s="443">
        <v>3876426.49</v>
      </c>
      <c r="J121" s="443"/>
      <c r="K121" s="443">
        <v>3968946.9</v>
      </c>
      <c r="L121" s="443"/>
      <c r="M121" s="443">
        <f t="shared" si="3"/>
        <v>-139257.56999999983</v>
      </c>
      <c r="N121" s="443"/>
      <c r="O121" s="443">
        <v>3829689.33</v>
      </c>
      <c r="P121" s="695"/>
      <c r="Q121" s="1221"/>
    </row>
    <row r="122" spans="2:17" s="789" customFormat="1" ht="15.5">
      <c r="B122" s="795">
        <v>21084</v>
      </c>
      <c r="C122" s="802"/>
      <c r="D122" s="796" t="s">
        <v>1198</v>
      </c>
      <c r="E122" s="803"/>
      <c r="F122" s="803"/>
      <c r="G122" s="443">
        <v>0</v>
      </c>
      <c r="H122" s="443"/>
      <c r="I122" s="443">
        <v>0</v>
      </c>
      <c r="J122" s="443"/>
      <c r="K122" s="443">
        <v>0</v>
      </c>
      <c r="L122" s="443"/>
      <c r="M122" s="443">
        <f t="shared" si="3"/>
        <v>0</v>
      </c>
      <c r="N122" s="443"/>
      <c r="O122" s="443">
        <v>0</v>
      </c>
      <c r="P122" s="695"/>
      <c r="Q122" s="1221"/>
    </row>
    <row r="123" spans="2:17" s="789" customFormat="1" ht="15.5">
      <c r="B123" s="795">
        <v>21087</v>
      </c>
      <c r="C123" s="802"/>
      <c r="D123" s="796" t="s">
        <v>1199</v>
      </c>
      <c r="E123" s="803"/>
      <c r="F123" s="803"/>
      <c r="G123" s="443">
        <v>0</v>
      </c>
      <c r="H123" s="443"/>
      <c r="I123" s="443">
        <v>0</v>
      </c>
      <c r="J123" s="443"/>
      <c r="K123" s="443">
        <v>0</v>
      </c>
      <c r="L123" s="443"/>
      <c r="M123" s="443">
        <f t="shared" si="3"/>
        <v>0</v>
      </c>
      <c r="N123" s="443"/>
      <c r="O123" s="443">
        <v>0</v>
      </c>
      <c r="P123" s="695"/>
      <c r="Q123" s="1221"/>
    </row>
    <row r="124" spans="2:17" s="789" customFormat="1" ht="15.5">
      <c r="B124" s="795">
        <v>21201</v>
      </c>
      <c r="C124" s="802"/>
      <c r="D124" s="796" t="s">
        <v>1200</v>
      </c>
      <c r="E124" s="803"/>
      <c r="F124" s="803"/>
      <c r="G124" s="443">
        <v>13916.09</v>
      </c>
      <c r="H124" s="443"/>
      <c r="I124" s="443">
        <v>20810.13</v>
      </c>
      <c r="J124" s="443"/>
      <c r="K124" s="443">
        <v>0</v>
      </c>
      <c r="L124" s="443"/>
      <c r="M124" s="443">
        <f t="shared" si="3"/>
        <v>0</v>
      </c>
      <c r="N124" s="443"/>
      <c r="O124" s="443">
        <v>0</v>
      </c>
      <c r="P124" s="695"/>
      <c r="Q124" s="1221"/>
    </row>
    <row r="125" spans="2:17" s="789" customFormat="1" ht="15.5">
      <c r="B125" s="795">
        <v>21202</v>
      </c>
      <c r="C125" s="802"/>
      <c r="D125" s="796" t="s">
        <v>1201</v>
      </c>
      <c r="E125" s="803"/>
      <c r="F125" s="803"/>
      <c r="G125" s="443">
        <v>4270.97</v>
      </c>
      <c r="H125" s="443"/>
      <c r="I125" s="443">
        <v>6242.49</v>
      </c>
      <c r="J125" s="443"/>
      <c r="K125" s="443">
        <v>0</v>
      </c>
      <c r="L125" s="443"/>
      <c r="M125" s="443">
        <f t="shared" si="3"/>
        <v>0</v>
      </c>
      <c r="N125" s="443"/>
      <c r="O125" s="443">
        <v>0</v>
      </c>
      <c r="P125" s="695"/>
      <c r="Q125" s="1221"/>
    </row>
    <row r="126" spans="2:17" s="789" customFormat="1" ht="15.5">
      <c r="B126" s="795">
        <v>21203</v>
      </c>
      <c r="C126" s="802"/>
      <c r="D126" s="796" t="s">
        <v>1202</v>
      </c>
      <c r="E126" s="803"/>
      <c r="F126" s="803"/>
      <c r="G126" s="443">
        <v>218105.14</v>
      </c>
      <c r="H126" s="443"/>
      <c r="I126" s="443">
        <v>308130.11</v>
      </c>
      <c r="J126" s="443"/>
      <c r="K126" s="443">
        <v>0</v>
      </c>
      <c r="L126" s="443"/>
      <c r="M126" s="443">
        <f t="shared" si="3"/>
        <v>6776.22</v>
      </c>
      <c r="N126" s="443"/>
      <c r="O126" s="443">
        <v>6776.22</v>
      </c>
      <c r="P126" s="695"/>
      <c r="Q126" s="1221"/>
    </row>
    <row r="127" spans="2:17" s="789" customFormat="1" ht="15.5">
      <c r="B127" s="795">
        <v>21204</v>
      </c>
      <c r="C127" s="802"/>
      <c r="D127" s="796" t="s">
        <v>1203</v>
      </c>
      <c r="E127" s="803"/>
      <c r="F127" s="803"/>
      <c r="G127" s="443">
        <v>0</v>
      </c>
      <c r="H127" s="443"/>
      <c r="I127" s="443">
        <v>280495.35999999999</v>
      </c>
      <c r="J127" s="443"/>
      <c r="K127" s="443">
        <v>439149.86</v>
      </c>
      <c r="L127" s="443"/>
      <c r="M127" s="443">
        <f t="shared" si="3"/>
        <v>1001602.66</v>
      </c>
      <c r="N127" s="443"/>
      <c r="O127" s="443">
        <v>1440752.52</v>
      </c>
      <c r="P127" s="695"/>
      <c r="Q127" s="1221"/>
    </row>
    <row r="128" spans="2:17" s="789" customFormat="1" ht="15.5">
      <c r="B128" s="795">
        <v>21205</v>
      </c>
      <c r="C128" s="802"/>
      <c r="D128" s="796" t="s">
        <v>1204</v>
      </c>
      <c r="E128" s="803"/>
      <c r="F128" s="803"/>
      <c r="G128" s="443">
        <v>0</v>
      </c>
      <c r="H128" s="443"/>
      <c r="I128" s="443">
        <v>0</v>
      </c>
      <c r="J128" s="443"/>
      <c r="K128" s="443">
        <v>0</v>
      </c>
      <c r="L128" s="443"/>
      <c r="M128" s="443">
        <f t="shared" si="3"/>
        <v>0</v>
      </c>
      <c r="N128" s="443"/>
      <c r="O128" s="443">
        <v>0</v>
      </c>
      <c r="P128" s="695"/>
      <c r="Q128" s="1221"/>
    </row>
    <row r="129" spans="2:17" s="789" customFormat="1" ht="15.5">
      <c r="B129" s="795">
        <v>21206</v>
      </c>
      <c r="C129" s="802"/>
      <c r="D129" s="796" t="s">
        <v>1205</v>
      </c>
      <c r="E129" s="803"/>
      <c r="F129" s="803"/>
      <c r="G129" s="443">
        <v>31898.37</v>
      </c>
      <c r="H129" s="443"/>
      <c r="I129" s="443">
        <v>46553.36</v>
      </c>
      <c r="J129" s="443"/>
      <c r="K129" s="443">
        <v>0</v>
      </c>
      <c r="L129" s="443"/>
      <c r="M129" s="443">
        <f t="shared" si="3"/>
        <v>0</v>
      </c>
      <c r="N129" s="443"/>
      <c r="O129" s="443">
        <v>0</v>
      </c>
      <c r="P129" s="695"/>
      <c r="Q129" s="1221"/>
    </row>
    <row r="130" spans="2:17" s="789" customFormat="1" ht="15.5">
      <c r="B130" s="795">
        <v>21401</v>
      </c>
      <c r="C130" s="802"/>
      <c r="D130" s="801" t="s">
        <v>1206</v>
      </c>
      <c r="E130" s="803"/>
      <c r="F130" s="803"/>
      <c r="G130" s="443">
        <v>0</v>
      </c>
      <c r="H130" s="443"/>
      <c r="I130" s="443">
        <v>0</v>
      </c>
      <c r="J130" s="443"/>
      <c r="K130" s="443">
        <v>0</v>
      </c>
      <c r="L130" s="443"/>
      <c r="M130" s="443">
        <f t="shared" si="3"/>
        <v>0</v>
      </c>
      <c r="N130" s="443"/>
      <c r="O130" s="443">
        <v>0</v>
      </c>
      <c r="P130" s="695"/>
      <c r="Q130" s="1221"/>
    </row>
    <row r="131" spans="2:17" s="789" customFormat="1" ht="15.5">
      <c r="B131" s="795">
        <v>21402</v>
      </c>
      <c r="C131" s="802"/>
      <c r="D131" s="801" t="s">
        <v>1207</v>
      </c>
      <c r="E131" s="803"/>
      <c r="F131" s="803"/>
      <c r="G131" s="443">
        <v>0</v>
      </c>
      <c r="H131" s="443"/>
      <c r="I131" s="443">
        <v>0</v>
      </c>
      <c r="J131" s="443"/>
      <c r="K131" s="443">
        <v>0</v>
      </c>
      <c r="L131" s="443"/>
      <c r="M131" s="443">
        <f t="shared" si="3"/>
        <v>0</v>
      </c>
      <c r="N131" s="443"/>
      <c r="O131" s="443">
        <v>0</v>
      </c>
      <c r="P131" s="695"/>
      <c r="Q131" s="1221"/>
    </row>
    <row r="132" spans="2:17" s="789" customFormat="1" ht="15.5">
      <c r="B132" s="795">
        <v>21451</v>
      </c>
      <c r="C132" s="802"/>
      <c r="D132" s="801" t="s">
        <v>1208</v>
      </c>
      <c r="E132" s="803"/>
      <c r="F132" s="803"/>
      <c r="G132" s="443">
        <v>47239884.170000002</v>
      </c>
      <c r="H132" s="443"/>
      <c r="I132" s="443">
        <v>47579715.670000002</v>
      </c>
      <c r="J132" s="443"/>
      <c r="K132" s="443">
        <v>48046312.409999996</v>
      </c>
      <c r="L132" s="443"/>
      <c r="M132" s="443">
        <f t="shared" si="3"/>
        <v>503210.77000000328</v>
      </c>
      <c r="N132" s="443"/>
      <c r="O132" s="443">
        <v>48549523.18</v>
      </c>
      <c r="P132" s="695"/>
      <c r="Q132" s="1221"/>
    </row>
    <row r="133" spans="2:17" s="789" customFormat="1" ht="15.5">
      <c r="B133" s="795">
        <v>21452</v>
      </c>
      <c r="C133" s="802"/>
      <c r="D133" s="796" t="s">
        <v>1209</v>
      </c>
      <c r="E133" s="803"/>
      <c r="F133" s="803"/>
      <c r="G133" s="443">
        <v>0</v>
      </c>
      <c r="H133" s="443"/>
      <c r="I133" s="443">
        <v>0</v>
      </c>
      <c r="J133" s="443"/>
      <c r="K133" s="443">
        <v>0</v>
      </c>
      <c r="L133" s="443"/>
      <c r="M133" s="443">
        <f t="shared" si="3"/>
        <v>0</v>
      </c>
      <c r="N133" s="443"/>
      <c r="O133" s="443">
        <v>0</v>
      </c>
      <c r="P133" s="695"/>
      <c r="Q133" s="1221"/>
    </row>
    <row r="134" spans="2:17" s="789" customFormat="1" ht="15.5">
      <c r="B134" s="795">
        <v>21902</v>
      </c>
      <c r="C134" s="802"/>
      <c r="D134" s="801" t="s">
        <v>1210</v>
      </c>
      <c r="E134" s="803"/>
      <c r="F134" s="803"/>
      <c r="G134" s="443">
        <v>0</v>
      </c>
      <c r="H134" s="443"/>
      <c r="I134" s="443">
        <v>0</v>
      </c>
      <c r="J134" s="443"/>
      <c r="K134" s="443">
        <v>0</v>
      </c>
      <c r="L134" s="443"/>
      <c r="M134" s="443">
        <f t="shared" si="3"/>
        <v>0</v>
      </c>
      <c r="N134" s="443"/>
      <c r="O134" s="443">
        <v>0</v>
      </c>
      <c r="P134" s="695"/>
      <c r="Q134" s="1221"/>
    </row>
    <row r="135" spans="2:17" s="789" customFormat="1" ht="15.5">
      <c r="B135" s="795">
        <v>21905</v>
      </c>
      <c r="C135" s="802"/>
      <c r="D135" s="871" t="s">
        <v>1211</v>
      </c>
      <c r="E135" s="803"/>
      <c r="F135" s="803"/>
      <c r="G135" s="443">
        <v>0</v>
      </c>
      <c r="H135" s="443"/>
      <c r="I135" s="443">
        <v>0</v>
      </c>
      <c r="J135" s="443"/>
      <c r="K135" s="443">
        <v>0</v>
      </c>
      <c r="L135" s="443"/>
      <c r="M135" s="443">
        <f t="shared" si="3"/>
        <v>0</v>
      </c>
      <c r="N135" s="443"/>
      <c r="O135" s="443">
        <v>0</v>
      </c>
      <c r="P135" s="695"/>
      <c r="Q135" s="1221"/>
    </row>
    <row r="136" spans="2:17" s="789" customFormat="1" ht="15.5">
      <c r="B136" s="795">
        <v>21911</v>
      </c>
      <c r="C136" s="802"/>
      <c r="D136" s="796" t="s">
        <v>1212</v>
      </c>
      <c r="E136" s="803"/>
      <c r="F136" s="803"/>
      <c r="G136" s="443">
        <v>471806.96</v>
      </c>
      <c r="H136" s="443"/>
      <c r="I136" s="443">
        <v>680960.53</v>
      </c>
      <c r="J136" s="443"/>
      <c r="K136" s="443">
        <v>269329.71999999997</v>
      </c>
      <c r="L136" s="443"/>
      <c r="M136" s="443">
        <f t="shared" si="3"/>
        <v>220514.89</v>
      </c>
      <c r="N136" s="443"/>
      <c r="O136" s="443">
        <v>489844.61</v>
      </c>
      <c r="P136" s="695"/>
      <c r="Q136" s="1221"/>
    </row>
    <row r="137" spans="2:17" s="789" customFormat="1" ht="15.5">
      <c r="B137" s="795">
        <v>21912</v>
      </c>
      <c r="C137" s="802"/>
      <c r="D137" s="801" t="s">
        <v>1213</v>
      </c>
      <c r="E137" s="803"/>
      <c r="F137" s="803"/>
      <c r="G137" s="443">
        <v>1947270.1</v>
      </c>
      <c r="H137" s="443"/>
      <c r="I137" s="443">
        <v>2208391.69</v>
      </c>
      <c r="J137" s="443"/>
      <c r="K137" s="443">
        <v>2000349.47</v>
      </c>
      <c r="L137" s="443"/>
      <c r="M137" s="443">
        <f t="shared" si="3"/>
        <v>259614.40999999992</v>
      </c>
      <c r="N137" s="443"/>
      <c r="O137" s="443">
        <v>2259963.88</v>
      </c>
      <c r="P137" s="695"/>
      <c r="Q137" s="1221"/>
    </row>
    <row r="138" spans="2:17" s="789" customFormat="1" ht="15.5">
      <c r="B138" s="795">
        <v>21937</v>
      </c>
      <c r="C138" s="802"/>
      <c r="D138" s="796" t="s">
        <v>1214</v>
      </c>
      <c r="E138" s="803"/>
      <c r="F138" s="803"/>
      <c r="G138" s="443">
        <v>252843.91</v>
      </c>
      <c r="H138" s="443"/>
      <c r="I138" s="443">
        <v>483658.8</v>
      </c>
      <c r="J138" s="443"/>
      <c r="K138" s="443">
        <v>382525.47</v>
      </c>
      <c r="L138" s="443"/>
      <c r="M138" s="443">
        <f t="shared" si="3"/>
        <v>-382525.47</v>
      </c>
      <c r="N138" s="443"/>
      <c r="O138" s="443">
        <v>0</v>
      </c>
      <c r="P138" s="695"/>
      <c r="Q138" s="1221"/>
    </row>
    <row r="139" spans="2:17" s="789" customFormat="1" ht="15.5">
      <c r="B139" s="795">
        <v>21945</v>
      </c>
      <c r="C139" s="802"/>
      <c r="D139" s="801" t="s">
        <v>1215</v>
      </c>
      <c r="E139" s="803"/>
      <c r="F139" s="803"/>
      <c r="G139" s="443">
        <v>0</v>
      </c>
      <c r="H139" s="443"/>
      <c r="I139" s="443">
        <v>0</v>
      </c>
      <c r="J139" s="443"/>
      <c r="K139" s="443">
        <v>0</v>
      </c>
      <c r="L139" s="443"/>
      <c r="M139" s="443">
        <f t="shared" si="3"/>
        <v>0</v>
      </c>
      <c r="N139" s="443"/>
      <c r="O139" s="443">
        <v>0</v>
      </c>
      <c r="P139" s="695"/>
      <c r="Q139" s="1221"/>
    </row>
    <row r="140" spans="2:17" s="789" customFormat="1" ht="15.5">
      <c r="B140" s="795">
        <v>21959</v>
      </c>
      <c r="C140" s="802"/>
      <c r="D140" s="796" t="s">
        <v>1216</v>
      </c>
      <c r="E140" s="803"/>
      <c r="F140" s="803"/>
      <c r="G140" s="443">
        <v>0</v>
      </c>
      <c r="H140" s="443"/>
      <c r="I140" s="443">
        <v>0</v>
      </c>
      <c r="J140" s="443"/>
      <c r="K140" s="443">
        <v>0</v>
      </c>
      <c r="L140" s="443"/>
      <c r="M140" s="443">
        <f t="shared" si="3"/>
        <v>0</v>
      </c>
      <c r="N140" s="443"/>
      <c r="O140" s="443">
        <v>0</v>
      </c>
      <c r="P140" s="695"/>
      <c r="Q140" s="1221"/>
    </row>
    <row r="141" spans="2:17" s="789" customFormat="1" ht="15.5">
      <c r="B141" s="795">
        <v>21961</v>
      </c>
      <c r="C141" s="802"/>
      <c r="D141" s="796" t="s">
        <v>1217</v>
      </c>
      <c r="E141" s="803"/>
      <c r="F141" s="803"/>
      <c r="G141" s="443">
        <v>48758.67</v>
      </c>
      <c r="H141" s="443"/>
      <c r="I141" s="443">
        <v>0</v>
      </c>
      <c r="J141" s="443"/>
      <c r="K141" s="443">
        <v>0</v>
      </c>
      <c r="L141" s="443"/>
      <c r="M141" s="443">
        <f t="shared" si="3"/>
        <v>0</v>
      </c>
      <c r="N141" s="443"/>
      <c r="O141" s="443">
        <v>0</v>
      </c>
      <c r="P141" s="695"/>
      <c r="Q141" s="1221"/>
    </row>
    <row r="142" spans="2:17" s="789" customFormat="1" ht="15.5">
      <c r="B142" s="795">
        <v>21962</v>
      </c>
      <c r="C142" s="802"/>
      <c r="D142" s="796" t="s">
        <v>1218</v>
      </c>
      <c r="E142" s="803"/>
      <c r="F142" s="803"/>
      <c r="G142" s="443">
        <v>11108212.82</v>
      </c>
      <c r="H142" s="443"/>
      <c r="I142" s="443">
        <v>12020723.34</v>
      </c>
      <c r="J142" s="443"/>
      <c r="K142" s="443">
        <v>10381722.58</v>
      </c>
      <c r="L142" s="443"/>
      <c r="M142" s="443">
        <f t="shared" si="3"/>
        <v>2281846.0299999993</v>
      </c>
      <c r="N142" s="443"/>
      <c r="O142" s="443">
        <v>12663568.609999999</v>
      </c>
      <c r="P142" s="695"/>
      <c r="Q142" s="1221"/>
    </row>
    <row r="143" spans="2:17" s="789" customFormat="1" ht="15.5">
      <c r="B143" s="795">
        <v>21978</v>
      </c>
      <c r="C143" s="802"/>
      <c r="D143" s="801" t="s">
        <v>1219</v>
      </c>
      <c r="E143" s="803"/>
      <c r="F143" s="803"/>
      <c r="G143" s="443">
        <v>0</v>
      </c>
      <c r="H143" s="443"/>
      <c r="I143" s="443">
        <v>0</v>
      </c>
      <c r="J143" s="443"/>
      <c r="K143" s="443">
        <v>0</v>
      </c>
      <c r="L143" s="443"/>
      <c r="M143" s="443">
        <f t="shared" si="3"/>
        <v>0</v>
      </c>
      <c r="N143" s="443"/>
      <c r="O143" s="443">
        <v>0</v>
      </c>
      <c r="P143" s="695"/>
      <c r="Q143" s="1221"/>
    </row>
    <row r="144" spans="2:17" s="789" customFormat="1" ht="15.5">
      <c r="B144" s="795">
        <v>21989</v>
      </c>
      <c r="C144" s="802"/>
      <c r="D144" s="801" t="s">
        <v>1220</v>
      </c>
      <c r="E144" s="803"/>
      <c r="F144" s="803"/>
      <c r="G144" s="443">
        <v>0</v>
      </c>
      <c r="H144" s="443"/>
      <c r="I144" s="443">
        <v>0</v>
      </c>
      <c r="J144" s="443"/>
      <c r="K144" s="443">
        <v>5357234.13</v>
      </c>
      <c r="L144" s="443"/>
      <c r="M144" s="443">
        <f t="shared" si="3"/>
        <v>945696.46</v>
      </c>
      <c r="N144" s="443"/>
      <c r="O144" s="443">
        <v>6302930.5899999999</v>
      </c>
      <c r="P144" s="695"/>
      <c r="Q144" s="1221"/>
    </row>
    <row r="145" spans="2:17" s="789" customFormat="1" ht="15.5">
      <c r="B145" s="795">
        <v>22003</v>
      </c>
      <c r="C145" s="802"/>
      <c r="D145" s="801" t="s">
        <v>1221</v>
      </c>
      <c r="E145" s="803"/>
      <c r="F145" s="803"/>
      <c r="G145" s="443">
        <v>0</v>
      </c>
      <c r="H145" s="443"/>
      <c r="I145" s="443">
        <v>0</v>
      </c>
      <c r="J145" s="443"/>
      <c r="K145" s="443">
        <v>0</v>
      </c>
      <c r="L145" s="443"/>
      <c r="M145" s="443">
        <f t="shared" si="3"/>
        <v>0</v>
      </c>
      <c r="N145" s="443"/>
      <c r="O145" s="443">
        <v>0</v>
      </c>
      <c r="P145" s="695"/>
      <c r="Q145" s="1221"/>
    </row>
    <row r="146" spans="2:17" s="789" customFormat="1" ht="15.5">
      <c r="B146" s="795">
        <v>22004</v>
      </c>
      <c r="C146" s="802"/>
      <c r="D146" s="796" t="s">
        <v>1222</v>
      </c>
      <c r="E146" s="803"/>
      <c r="F146" s="803"/>
      <c r="G146" s="443">
        <v>0</v>
      </c>
      <c r="H146" s="443"/>
      <c r="I146" s="443">
        <v>0</v>
      </c>
      <c r="J146" s="443"/>
      <c r="K146" s="443">
        <v>0</v>
      </c>
      <c r="L146" s="443"/>
      <c r="M146" s="443">
        <f t="shared" si="3"/>
        <v>0</v>
      </c>
      <c r="N146" s="443"/>
      <c r="O146" s="443">
        <v>0</v>
      </c>
      <c r="P146" s="695"/>
      <c r="Q146" s="1221"/>
    </row>
    <row r="147" spans="2:17" s="789" customFormat="1" ht="15.5">
      <c r="B147" s="795">
        <v>22006</v>
      </c>
      <c r="C147" s="802"/>
      <c r="D147" s="801" t="s">
        <v>1223</v>
      </c>
      <c r="E147" s="803"/>
      <c r="F147" s="803"/>
      <c r="G147" s="443">
        <v>0</v>
      </c>
      <c r="H147" s="443"/>
      <c r="I147" s="443">
        <v>0</v>
      </c>
      <c r="J147" s="443"/>
      <c r="K147" s="443">
        <v>0</v>
      </c>
      <c r="L147" s="443"/>
      <c r="M147" s="443">
        <f t="shared" si="3"/>
        <v>0</v>
      </c>
      <c r="N147" s="443"/>
      <c r="O147" s="443">
        <v>0</v>
      </c>
      <c r="P147" s="695"/>
      <c r="Q147" s="1221"/>
    </row>
    <row r="148" spans="2:17" s="789" customFormat="1" ht="15.5">
      <c r="B148" s="795">
        <v>22007</v>
      </c>
      <c r="C148" s="802"/>
      <c r="D148" s="796" t="s">
        <v>1224</v>
      </c>
      <c r="E148" s="803"/>
      <c r="F148" s="803"/>
      <c r="G148" s="443">
        <v>2841157.81</v>
      </c>
      <c r="H148" s="443"/>
      <c r="I148" s="443">
        <v>2423166.25</v>
      </c>
      <c r="J148" s="443"/>
      <c r="K148" s="443">
        <v>2287047.94</v>
      </c>
      <c r="L148" s="443"/>
      <c r="M148" s="443">
        <f t="shared" si="3"/>
        <v>19642.600000000093</v>
      </c>
      <c r="N148" s="443"/>
      <c r="O148" s="443">
        <v>2306690.54</v>
      </c>
      <c r="P148" s="695"/>
      <c r="Q148" s="1221"/>
    </row>
    <row r="149" spans="2:17" s="789" customFormat="1" ht="15.5">
      <c r="B149" s="795">
        <v>22008</v>
      </c>
      <c r="C149" s="802"/>
      <c r="D149" s="796" t="s">
        <v>1225</v>
      </c>
      <c r="E149" s="803"/>
      <c r="F149" s="803"/>
      <c r="G149" s="443">
        <v>0</v>
      </c>
      <c r="H149" s="443"/>
      <c r="I149" s="443">
        <v>0</v>
      </c>
      <c r="J149" s="443"/>
      <c r="K149" s="443">
        <v>23438.720000000001</v>
      </c>
      <c r="L149" s="443"/>
      <c r="M149" s="443">
        <f t="shared" si="3"/>
        <v>787763.22</v>
      </c>
      <c r="N149" s="443"/>
      <c r="O149" s="443">
        <v>811201.94</v>
      </c>
      <c r="P149" s="695"/>
      <c r="Q149" s="1221"/>
    </row>
    <row r="150" spans="2:17" s="789" customFormat="1" ht="15.5">
      <c r="B150" s="795">
        <v>22009</v>
      </c>
      <c r="C150" s="802"/>
      <c r="D150" s="796" t="s">
        <v>1226</v>
      </c>
      <c r="E150" s="803"/>
      <c r="F150" s="803"/>
      <c r="G150" s="443">
        <v>0</v>
      </c>
      <c r="H150" s="443"/>
      <c r="I150" s="443">
        <v>0</v>
      </c>
      <c r="J150" s="443"/>
      <c r="K150" s="443">
        <v>0</v>
      </c>
      <c r="L150" s="443"/>
      <c r="M150" s="443">
        <f t="shared" si="3"/>
        <v>0</v>
      </c>
      <c r="N150" s="443"/>
      <c r="O150" s="443">
        <v>0</v>
      </c>
      <c r="P150" s="695"/>
      <c r="Q150" s="1221"/>
    </row>
    <row r="151" spans="2:17" s="789" customFormat="1" ht="15.5">
      <c r="B151" s="795">
        <v>22032</v>
      </c>
      <c r="C151" s="802"/>
      <c r="D151" s="796" t="s">
        <v>1227</v>
      </c>
      <c r="E151" s="803"/>
      <c r="F151" s="803"/>
      <c r="G151" s="443">
        <v>13917153.210000001</v>
      </c>
      <c r="H151" s="443"/>
      <c r="I151" s="443">
        <v>14556615.67</v>
      </c>
      <c r="J151" s="443"/>
      <c r="K151" s="443">
        <v>15648270.83</v>
      </c>
      <c r="L151" s="443"/>
      <c r="M151" s="443">
        <f t="shared" si="3"/>
        <v>752530.6400000006</v>
      </c>
      <c r="N151" s="443"/>
      <c r="O151" s="443">
        <v>16400801.470000001</v>
      </c>
      <c r="P151" s="695"/>
      <c r="Q151" s="1221"/>
    </row>
    <row r="152" spans="2:17" s="789" customFormat="1" ht="15.5">
      <c r="B152" s="795">
        <v>22034</v>
      </c>
      <c r="C152" s="802"/>
      <c r="D152" s="796" t="s">
        <v>1228</v>
      </c>
      <c r="E152" s="803"/>
      <c r="F152" s="803"/>
      <c r="G152" s="443">
        <v>0</v>
      </c>
      <c r="H152" s="443"/>
      <c r="I152" s="443">
        <v>0</v>
      </c>
      <c r="J152" s="443"/>
      <c r="K152" s="443">
        <v>0</v>
      </c>
      <c r="L152" s="443"/>
      <c r="M152" s="443">
        <f t="shared" si="3"/>
        <v>0</v>
      </c>
      <c r="N152" s="443"/>
      <c r="O152" s="443">
        <v>0</v>
      </c>
      <c r="P152" s="695"/>
      <c r="Q152" s="1221"/>
    </row>
    <row r="153" spans="2:17" s="789" customFormat="1" ht="15.5">
      <c r="B153" s="795">
        <v>22036</v>
      </c>
      <c r="C153" s="802"/>
      <c r="D153" s="796" t="s">
        <v>1229</v>
      </c>
      <c r="E153" s="803"/>
      <c r="F153" s="803"/>
      <c r="G153" s="443">
        <v>0</v>
      </c>
      <c r="H153" s="443"/>
      <c r="I153" s="443">
        <v>0</v>
      </c>
      <c r="J153" s="443"/>
      <c r="K153" s="443">
        <v>0</v>
      </c>
      <c r="L153" s="443"/>
      <c r="M153" s="443">
        <f t="shared" si="3"/>
        <v>0</v>
      </c>
      <c r="N153" s="443"/>
      <c r="O153" s="443">
        <v>0</v>
      </c>
      <c r="P153" s="695"/>
      <c r="Q153" s="1221"/>
    </row>
    <row r="154" spans="2:17" s="789" customFormat="1" ht="15.5">
      <c r="B154" s="795">
        <v>22039</v>
      </c>
      <c r="C154" s="802"/>
      <c r="D154" s="796" t="s">
        <v>1230</v>
      </c>
      <c r="E154" s="803"/>
      <c r="F154" s="803"/>
      <c r="G154" s="443">
        <v>797704.63</v>
      </c>
      <c r="H154" s="443"/>
      <c r="I154" s="443">
        <v>1206875.75</v>
      </c>
      <c r="J154" s="443"/>
      <c r="K154" s="443">
        <v>406391</v>
      </c>
      <c r="L154" s="443"/>
      <c r="M154" s="443">
        <f t="shared" si="3"/>
        <v>313788.88</v>
      </c>
      <c r="N154" s="443"/>
      <c r="O154" s="443">
        <v>720179.88</v>
      </c>
      <c r="P154" s="695"/>
      <c r="Q154" s="1221"/>
    </row>
    <row r="155" spans="2:17" s="789" customFormat="1" ht="15.5">
      <c r="B155" s="795">
        <v>22046</v>
      </c>
      <c r="C155" s="802"/>
      <c r="D155" s="796" t="s">
        <v>1231</v>
      </c>
      <c r="E155" s="803"/>
      <c r="F155" s="803"/>
      <c r="G155" s="443">
        <v>128036943.72</v>
      </c>
      <c r="H155" s="443"/>
      <c r="I155" s="443">
        <v>129191568.05</v>
      </c>
      <c r="J155" s="443"/>
      <c r="K155" s="443">
        <v>129084714.45</v>
      </c>
      <c r="L155" s="443"/>
      <c r="M155" s="443">
        <f t="shared" si="3"/>
        <v>746412.81999999285</v>
      </c>
      <c r="N155" s="443"/>
      <c r="O155" s="443">
        <v>129831127.27</v>
      </c>
      <c r="P155" s="695"/>
      <c r="Q155" s="1221"/>
    </row>
    <row r="156" spans="2:17" s="789" customFormat="1" ht="15.5">
      <c r="B156" s="795">
        <v>22053</v>
      </c>
      <c r="C156" s="802"/>
      <c r="D156" s="796" t="s">
        <v>1232</v>
      </c>
      <c r="E156" s="803"/>
      <c r="F156" s="803"/>
      <c r="G156" s="443">
        <v>7650104.3099999996</v>
      </c>
      <c r="H156" s="443"/>
      <c r="I156" s="443">
        <v>8360334.71</v>
      </c>
      <c r="J156" s="443"/>
      <c r="K156" s="443">
        <v>9316978.5800000001</v>
      </c>
      <c r="L156" s="443"/>
      <c r="M156" s="443">
        <f t="shared" si="3"/>
        <v>719385.19999999925</v>
      </c>
      <c r="N156" s="443"/>
      <c r="O156" s="443">
        <v>10036363.779999999</v>
      </c>
      <c r="P156" s="695"/>
      <c r="Q156" s="1221"/>
    </row>
    <row r="157" spans="2:17" s="789" customFormat="1" ht="15.5">
      <c r="B157" s="795">
        <v>22054</v>
      </c>
      <c r="C157" s="802"/>
      <c r="D157" s="796" t="s">
        <v>1233</v>
      </c>
      <c r="E157" s="803"/>
      <c r="F157" s="803"/>
      <c r="G157" s="443">
        <v>0</v>
      </c>
      <c r="H157" s="443"/>
      <c r="I157" s="443">
        <v>0</v>
      </c>
      <c r="J157" s="443"/>
      <c r="K157" s="443">
        <v>0</v>
      </c>
      <c r="L157" s="443"/>
      <c r="M157" s="443">
        <f t="shared" si="3"/>
        <v>0</v>
      </c>
      <c r="N157" s="443"/>
      <c r="O157" s="443">
        <v>0</v>
      </c>
      <c r="P157" s="695"/>
      <c r="Q157" s="1221"/>
    </row>
    <row r="158" spans="2:17" s="789" customFormat="1" ht="15.5">
      <c r="B158" s="795">
        <v>22055</v>
      </c>
      <c r="C158" s="802"/>
      <c r="D158" s="796" t="s">
        <v>1234</v>
      </c>
      <c r="E158" s="803"/>
      <c r="F158" s="803"/>
      <c r="G158" s="443">
        <v>66220649.649999999</v>
      </c>
      <c r="H158" s="443"/>
      <c r="I158" s="443">
        <v>67569918.189999998</v>
      </c>
      <c r="J158" s="443"/>
      <c r="K158" s="443">
        <v>69408508.140000001</v>
      </c>
      <c r="L158" s="443"/>
      <c r="M158" s="443">
        <f t="shared" si="3"/>
        <v>1806312.8900000006</v>
      </c>
      <c r="N158" s="443"/>
      <c r="O158" s="443">
        <v>71214821.030000001</v>
      </c>
      <c r="P158" s="695"/>
      <c r="Q158" s="1221"/>
    </row>
    <row r="159" spans="2:17" s="789" customFormat="1" ht="15.5">
      <c r="B159" s="795">
        <v>22062</v>
      </c>
      <c r="C159" s="802"/>
      <c r="D159" s="796" t="s">
        <v>1235</v>
      </c>
      <c r="E159" s="803"/>
      <c r="F159" s="803"/>
      <c r="G159" s="443">
        <v>0</v>
      </c>
      <c r="H159" s="443"/>
      <c r="I159" s="443">
        <v>0</v>
      </c>
      <c r="J159" s="443"/>
      <c r="K159" s="443">
        <v>0</v>
      </c>
      <c r="L159" s="443"/>
      <c r="M159" s="443">
        <f t="shared" si="3"/>
        <v>0</v>
      </c>
      <c r="N159" s="443"/>
      <c r="O159" s="443">
        <v>0</v>
      </c>
      <c r="P159" s="695"/>
      <c r="Q159" s="1221"/>
    </row>
    <row r="160" spans="2:17" s="789" customFormat="1" ht="15.5">
      <c r="B160" s="795">
        <v>22063</v>
      </c>
      <c r="C160" s="802"/>
      <c r="D160" s="796" t="s">
        <v>1236</v>
      </c>
      <c r="E160" s="803"/>
      <c r="F160" s="803"/>
      <c r="G160" s="443">
        <v>3853709.99</v>
      </c>
      <c r="H160" s="443"/>
      <c r="I160" s="443">
        <v>4489855.3</v>
      </c>
      <c r="J160" s="443"/>
      <c r="K160" s="443">
        <v>4114275.24</v>
      </c>
      <c r="L160" s="443"/>
      <c r="M160" s="443">
        <f t="shared" si="3"/>
        <v>289912.89999999944</v>
      </c>
      <c r="N160" s="443"/>
      <c r="O160" s="443">
        <v>4404188.1399999997</v>
      </c>
      <c r="P160" s="695"/>
      <c r="Q160" s="1221"/>
    </row>
    <row r="161" spans="2:17" s="789" customFormat="1" ht="15.5">
      <c r="B161" s="795">
        <v>22078</v>
      </c>
      <c r="C161" s="802"/>
      <c r="D161" s="796" t="s">
        <v>1237</v>
      </c>
      <c r="E161" s="803"/>
      <c r="F161" s="803"/>
      <c r="G161" s="443">
        <v>0</v>
      </c>
      <c r="H161" s="443"/>
      <c r="I161" s="443">
        <v>0</v>
      </c>
      <c r="J161" s="443"/>
      <c r="K161" s="443">
        <v>0</v>
      </c>
      <c r="L161" s="443"/>
      <c r="M161" s="443">
        <f t="shared" si="3"/>
        <v>0</v>
      </c>
      <c r="N161" s="443"/>
      <c r="O161" s="443">
        <v>0</v>
      </c>
      <c r="P161" s="695"/>
      <c r="Q161" s="1221"/>
    </row>
    <row r="162" spans="2:17" s="789" customFormat="1" ht="15.5">
      <c r="B162" s="795">
        <v>22085</v>
      </c>
      <c r="C162" s="802"/>
      <c r="D162" s="796" t="s">
        <v>1238</v>
      </c>
      <c r="E162" s="803"/>
      <c r="F162" s="803"/>
      <c r="G162" s="443">
        <v>0</v>
      </c>
      <c r="H162" s="443"/>
      <c r="I162" s="443">
        <v>0</v>
      </c>
      <c r="J162" s="443"/>
      <c r="K162" s="443">
        <v>158758.01999999999</v>
      </c>
      <c r="L162" s="443"/>
      <c r="M162" s="443">
        <f t="shared" si="3"/>
        <v>291682.13</v>
      </c>
      <c r="N162" s="443"/>
      <c r="O162" s="443">
        <v>450440.15</v>
      </c>
      <c r="P162" s="695"/>
      <c r="Q162" s="1221"/>
    </row>
    <row r="163" spans="2:17" s="789" customFormat="1" ht="15.5">
      <c r="B163" s="795">
        <v>22090</v>
      </c>
      <c r="C163" s="802"/>
      <c r="D163" s="796" t="s">
        <v>1239</v>
      </c>
      <c r="E163" s="803"/>
      <c r="F163" s="803"/>
      <c r="G163" s="443">
        <v>0</v>
      </c>
      <c r="H163" s="443"/>
      <c r="I163" s="443">
        <v>0</v>
      </c>
      <c r="J163" s="443"/>
      <c r="K163" s="443">
        <v>0</v>
      </c>
      <c r="L163" s="443"/>
      <c r="M163" s="443">
        <f t="shared" si="3"/>
        <v>0</v>
      </c>
      <c r="N163" s="443"/>
      <c r="O163" s="443">
        <v>0</v>
      </c>
      <c r="P163" s="695"/>
      <c r="Q163" s="1221"/>
    </row>
    <row r="164" spans="2:17" s="789" customFormat="1" ht="15.5">
      <c r="B164" s="795">
        <v>22099</v>
      </c>
      <c r="C164" s="802"/>
      <c r="D164" s="796" t="s">
        <v>1240</v>
      </c>
      <c r="E164" s="803"/>
      <c r="F164" s="803"/>
      <c r="G164" s="443">
        <v>0</v>
      </c>
      <c r="H164" s="443"/>
      <c r="I164" s="443">
        <v>0</v>
      </c>
      <c r="J164" s="443"/>
      <c r="K164" s="443">
        <v>0</v>
      </c>
      <c r="L164" s="443"/>
      <c r="M164" s="443">
        <f t="shared" si="3"/>
        <v>0</v>
      </c>
      <c r="N164" s="443"/>
      <c r="O164" s="443">
        <v>0</v>
      </c>
      <c r="P164" s="695"/>
      <c r="Q164" s="1221"/>
    </row>
    <row r="165" spans="2:17" s="789" customFormat="1" ht="15.5">
      <c r="B165" s="795">
        <v>22100</v>
      </c>
      <c r="C165" s="802"/>
      <c r="D165" s="796" t="s">
        <v>1241</v>
      </c>
      <c r="E165" s="803"/>
      <c r="F165" s="803"/>
      <c r="G165" s="443">
        <v>18016917.850000001</v>
      </c>
      <c r="H165" s="443"/>
      <c r="I165" s="443">
        <v>18572445.789999999</v>
      </c>
      <c r="J165" s="443"/>
      <c r="K165" s="443">
        <v>17685515.960000001</v>
      </c>
      <c r="L165" s="443"/>
      <c r="M165" s="443">
        <f t="shared" si="3"/>
        <v>-88019.490000002086</v>
      </c>
      <c r="N165" s="443"/>
      <c r="O165" s="443">
        <v>17597496.469999999</v>
      </c>
      <c r="P165" s="695"/>
      <c r="Q165" s="1221"/>
    </row>
    <row r="166" spans="2:17" s="789" customFormat="1" ht="15.5">
      <c r="B166" s="795">
        <v>22130</v>
      </c>
      <c r="C166" s="802"/>
      <c r="D166" s="801" t="s">
        <v>1242</v>
      </c>
      <c r="E166" s="803"/>
      <c r="F166" s="803"/>
      <c r="G166" s="443">
        <v>0</v>
      </c>
      <c r="H166" s="443"/>
      <c r="I166" s="443">
        <v>0</v>
      </c>
      <c r="J166" s="443"/>
      <c r="K166" s="443">
        <v>0</v>
      </c>
      <c r="L166" s="443"/>
      <c r="M166" s="443">
        <f t="shared" si="3"/>
        <v>0</v>
      </c>
      <c r="N166" s="443"/>
      <c r="O166" s="443">
        <v>0</v>
      </c>
      <c r="P166" s="695"/>
      <c r="Q166" s="1221"/>
    </row>
    <row r="167" spans="2:17" s="789" customFormat="1" ht="15.5">
      <c r="B167" s="795">
        <v>22134</v>
      </c>
      <c r="C167" s="802"/>
      <c r="D167" s="801" t="s">
        <v>1243</v>
      </c>
      <c r="E167" s="803"/>
      <c r="F167" s="803"/>
      <c r="G167" s="443">
        <v>0</v>
      </c>
      <c r="H167" s="443"/>
      <c r="I167" s="443">
        <v>0</v>
      </c>
      <c r="J167" s="443"/>
      <c r="K167" s="443">
        <v>0</v>
      </c>
      <c r="L167" s="443"/>
      <c r="M167" s="443">
        <f t="shared" si="3"/>
        <v>0</v>
      </c>
      <c r="N167" s="443"/>
      <c r="O167" s="443">
        <v>0</v>
      </c>
      <c r="P167" s="695"/>
      <c r="Q167" s="1221"/>
    </row>
    <row r="168" spans="2:17" s="789" customFormat="1" ht="15.5">
      <c r="B168" s="795">
        <v>22135</v>
      </c>
      <c r="C168" s="802"/>
      <c r="D168" s="801" t="s">
        <v>1244</v>
      </c>
      <c r="E168" s="803"/>
      <c r="F168" s="803"/>
      <c r="G168" s="443">
        <v>0</v>
      </c>
      <c r="H168" s="443"/>
      <c r="I168" s="443">
        <v>0</v>
      </c>
      <c r="J168" s="443"/>
      <c r="K168" s="443">
        <v>0</v>
      </c>
      <c r="L168" s="443"/>
      <c r="M168" s="443">
        <f t="shared" si="3"/>
        <v>0</v>
      </c>
      <c r="N168" s="443"/>
      <c r="O168" s="443">
        <v>0</v>
      </c>
      <c r="P168" s="695"/>
      <c r="Q168" s="1221"/>
    </row>
    <row r="169" spans="2:17" s="789" customFormat="1" ht="15.5">
      <c r="B169" s="795">
        <v>22144</v>
      </c>
      <c r="C169" s="802"/>
      <c r="D169" s="796" t="s">
        <v>1245</v>
      </c>
      <c r="E169" s="803"/>
      <c r="F169" s="803"/>
      <c r="G169" s="443">
        <v>0</v>
      </c>
      <c r="H169" s="443"/>
      <c r="I169" s="443">
        <v>0</v>
      </c>
      <c r="J169" s="443"/>
      <c r="K169" s="443">
        <v>0</v>
      </c>
      <c r="L169" s="443"/>
      <c r="M169" s="443">
        <f t="shared" si="3"/>
        <v>0</v>
      </c>
      <c r="N169" s="443"/>
      <c r="O169" s="443">
        <v>0</v>
      </c>
      <c r="P169" s="695"/>
      <c r="Q169" s="1221"/>
    </row>
    <row r="170" spans="2:17" s="789" customFormat="1" ht="15.5">
      <c r="B170" s="795">
        <v>22151</v>
      </c>
      <c r="C170" s="802"/>
      <c r="D170" s="801" t="s">
        <v>1246</v>
      </c>
      <c r="E170" s="803"/>
      <c r="F170" s="803"/>
      <c r="G170" s="443">
        <v>84122.52</v>
      </c>
      <c r="H170" s="443"/>
      <c r="I170" s="443">
        <v>159051.68</v>
      </c>
      <c r="J170" s="443"/>
      <c r="K170" s="443">
        <v>9971.7999999999993</v>
      </c>
      <c r="L170" s="443"/>
      <c r="M170" s="443">
        <f t="shared" ref="M170:M191" si="4">O170-K170</f>
        <v>61705.97</v>
      </c>
      <c r="N170" s="443"/>
      <c r="O170" s="443">
        <v>71677.77</v>
      </c>
      <c r="P170" s="695"/>
      <c r="Q170" s="1221"/>
    </row>
    <row r="171" spans="2:17" s="789" customFormat="1" ht="15.5">
      <c r="B171" s="795">
        <v>22156</v>
      </c>
      <c r="C171" s="802"/>
      <c r="D171" s="801" t="s">
        <v>1247</v>
      </c>
      <c r="E171" s="803"/>
      <c r="F171" s="803"/>
      <c r="G171" s="443">
        <v>0</v>
      </c>
      <c r="H171" s="443"/>
      <c r="I171" s="443">
        <v>0</v>
      </c>
      <c r="J171" s="443"/>
      <c r="K171" s="443">
        <v>0</v>
      </c>
      <c r="L171" s="443"/>
      <c r="M171" s="443">
        <f t="shared" si="4"/>
        <v>0</v>
      </c>
      <c r="N171" s="443"/>
      <c r="O171" s="443">
        <v>0</v>
      </c>
      <c r="P171" s="695"/>
      <c r="Q171" s="1221"/>
    </row>
    <row r="172" spans="2:17" s="789" customFormat="1" ht="15.5">
      <c r="B172" s="795">
        <v>22158</v>
      </c>
      <c r="C172" s="802"/>
      <c r="D172" s="796" t="s">
        <v>1248</v>
      </c>
      <c r="E172" s="803"/>
      <c r="F172" s="803"/>
      <c r="G172" s="443">
        <v>0</v>
      </c>
      <c r="H172" s="443"/>
      <c r="I172" s="443">
        <v>0</v>
      </c>
      <c r="J172" s="443"/>
      <c r="K172" s="443">
        <v>0</v>
      </c>
      <c r="L172" s="443"/>
      <c r="M172" s="443">
        <f t="shared" si="4"/>
        <v>0</v>
      </c>
      <c r="N172" s="443"/>
      <c r="O172" s="443">
        <v>0</v>
      </c>
      <c r="P172" s="695"/>
      <c r="Q172" s="1221"/>
    </row>
    <row r="173" spans="2:17" s="789" customFormat="1" ht="15.5">
      <c r="B173" s="795">
        <v>22165</v>
      </c>
      <c r="C173" s="802"/>
      <c r="D173" s="796" t="s">
        <v>1249</v>
      </c>
      <c r="E173" s="803"/>
      <c r="F173" s="803"/>
      <c r="G173" s="443">
        <v>0</v>
      </c>
      <c r="H173" s="443"/>
      <c r="I173" s="443">
        <v>0</v>
      </c>
      <c r="J173" s="443"/>
      <c r="K173" s="443">
        <v>0</v>
      </c>
      <c r="L173" s="443"/>
      <c r="M173" s="443">
        <f t="shared" si="4"/>
        <v>58942.66</v>
      </c>
      <c r="N173" s="443"/>
      <c r="O173" s="443">
        <v>58942.66</v>
      </c>
      <c r="P173" s="695"/>
      <c r="Q173" s="1221"/>
    </row>
    <row r="174" spans="2:17" s="789" customFormat="1" ht="15.5">
      <c r="B174" s="795">
        <v>22168</v>
      </c>
      <c r="C174" s="802"/>
      <c r="D174" s="796" t="s">
        <v>1250</v>
      </c>
      <c r="E174" s="803"/>
      <c r="F174" s="803"/>
      <c r="G174" s="443">
        <v>0</v>
      </c>
      <c r="H174" s="443"/>
      <c r="I174" s="443">
        <v>0</v>
      </c>
      <c r="J174" s="443"/>
      <c r="K174" s="443">
        <v>0</v>
      </c>
      <c r="L174" s="443"/>
      <c r="M174" s="443">
        <f t="shared" si="4"/>
        <v>0</v>
      </c>
      <c r="N174" s="443"/>
      <c r="O174" s="443">
        <v>0</v>
      </c>
      <c r="P174" s="695"/>
      <c r="Q174" s="1221"/>
    </row>
    <row r="175" spans="2:17" s="789" customFormat="1" ht="15.5">
      <c r="B175" s="795">
        <v>22211</v>
      </c>
      <c r="C175" s="802"/>
      <c r="D175" s="796" t="s">
        <v>1251</v>
      </c>
      <c r="E175" s="803"/>
      <c r="F175" s="803"/>
      <c r="G175" s="443">
        <v>13790260.359999999</v>
      </c>
      <c r="H175" s="443"/>
      <c r="I175" s="443">
        <v>14336951.050000001</v>
      </c>
      <c r="J175" s="443"/>
      <c r="K175" s="443">
        <v>0</v>
      </c>
      <c r="L175" s="443"/>
      <c r="M175" s="443">
        <f t="shared" si="4"/>
        <v>0</v>
      </c>
      <c r="N175" s="443"/>
      <c r="O175" s="443">
        <v>0</v>
      </c>
      <c r="P175" s="695"/>
      <c r="Q175" s="1221"/>
    </row>
    <row r="176" spans="2:17" s="789" customFormat="1" ht="15.5">
      <c r="B176" s="795">
        <v>22240</v>
      </c>
      <c r="C176" s="802"/>
      <c r="D176" s="796" t="s">
        <v>1252</v>
      </c>
      <c r="E176" s="803"/>
      <c r="F176" s="803"/>
      <c r="G176" s="443">
        <v>4285400.08</v>
      </c>
      <c r="H176" s="443"/>
      <c r="I176" s="443">
        <v>4477873.5999999996</v>
      </c>
      <c r="J176" s="443"/>
      <c r="K176" s="443">
        <v>4604705.12</v>
      </c>
      <c r="L176" s="443"/>
      <c r="M176" s="443">
        <f t="shared" si="4"/>
        <v>126831.51999999955</v>
      </c>
      <c r="N176" s="443"/>
      <c r="O176" s="443">
        <v>4731536.6399999997</v>
      </c>
      <c r="P176" s="695"/>
      <c r="Q176" s="1221"/>
    </row>
    <row r="177" spans="2:17" s="789" customFormat="1" ht="15.5">
      <c r="B177" s="795">
        <v>22246</v>
      </c>
      <c r="C177" s="802"/>
      <c r="D177" s="796" t="s">
        <v>1253</v>
      </c>
      <c r="E177" s="803"/>
      <c r="F177" s="803"/>
      <c r="G177" s="443">
        <v>0</v>
      </c>
      <c r="H177" s="443"/>
      <c r="I177" s="443">
        <v>0</v>
      </c>
      <c r="J177" s="443"/>
      <c r="K177" s="443">
        <v>0</v>
      </c>
      <c r="L177" s="443"/>
      <c r="M177" s="443">
        <f t="shared" si="4"/>
        <v>0</v>
      </c>
      <c r="N177" s="443"/>
      <c r="O177" s="443">
        <v>0</v>
      </c>
      <c r="P177" s="695"/>
      <c r="Q177" s="1221"/>
    </row>
    <row r="178" spans="2:17" s="789" customFormat="1" ht="15.5">
      <c r="B178" s="795">
        <v>22255</v>
      </c>
      <c r="C178" s="802"/>
      <c r="D178" s="796" t="s">
        <v>1254</v>
      </c>
      <c r="E178" s="803"/>
      <c r="F178" s="803"/>
      <c r="G178" s="443">
        <v>0</v>
      </c>
      <c r="H178" s="443"/>
      <c r="I178" s="443">
        <v>286542.68</v>
      </c>
      <c r="J178" s="443"/>
      <c r="K178" s="443">
        <v>0</v>
      </c>
      <c r="L178" s="443"/>
      <c r="M178" s="443">
        <f t="shared" si="4"/>
        <v>0</v>
      </c>
      <c r="N178" s="443"/>
      <c r="O178" s="443">
        <v>0</v>
      </c>
      <c r="P178" s="695"/>
      <c r="Q178" s="1221"/>
    </row>
    <row r="179" spans="2:17" s="789" customFormat="1" ht="15.5">
      <c r="B179" s="795">
        <v>22262</v>
      </c>
      <c r="C179" s="802"/>
      <c r="D179" s="796" t="s">
        <v>1424</v>
      </c>
      <c r="E179" s="803"/>
      <c r="F179" s="803"/>
      <c r="G179" s="443">
        <v>5576819.71</v>
      </c>
      <c r="H179" s="443"/>
      <c r="I179" s="443">
        <v>6683473.1699999999</v>
      </c>
      <c r="J179" s="443"/>
      <c r="K179" s="443">
        <v>4072710.71</v>
      </c>
      <c r="L179" s="443"/>
      <c r="M179" s="443">
        <f t="shared" si="4"/>
        <v>-296093.0299999998</v>
      </c>
      <c r="N179" s="443"/>
      <c r="O179" s="443">
        <v>3776617.68</v>
      </c>
      <c r="P179" s="1311"/>
      <c r="Q179" s="1221"/>
    </row>
    <row r="180" spans="2:17" s="789" customFormat="1" ht="15.5">
      <c r="B180" s="795">
        <v>22654</v>
      </c>
      <c r="C180" s="802"/>
      <c r="D180" s="801" t="s">
        <v>1255</v>
      </c>
      <c r="E180" s="803"/>
      <c r="F180" s="803"/>
      <c r="G180" s="443">
        <v>23098422.699999999</v>
      </c>
      <c r="H180" s="443"/>
      <c r="I180" s="443">
        <v>23189746.390000001</v>
      </c>
      <c r="J180" s="443"/>
      <c r="K180" s="443">
        <v>23282680.289999999</v>
      </c>
      <c r="L180" s="443"/>
      <c r="M180" s="443">
        <f t="shared" si="4"/>
        <v>88285.960000000894</v>
      </c>
      <c r="N180" s="443"/>
      <c r="O180" s="443">
        <v>23370966.25</v>
      </c>
      <c r="P180" s="695"/>
      <c r="Q180" s="1221"/>
    </row>
    <row r="181" spans="2:17" s="789" customFormat="1" ht="15.5">
      <c r="B181" s="795">
        <v>22751</v>
      </c>
      <c r="C181" s="802"/>
      <c r="D181" s="801" t="s">
        <v>1256</v>
      </c>
      <c r="E181" s="803"/>
      <c r="F181" s="803"/>
      <c r="G181" s="443">
        <v>0</v>
      </c>
      <c r="H181" s="443"/>
      <c r="I181" s="443">
        <v>0</v>
      </c>
      <c r="J181" s="443"/>
      <c r="K181" s="443">
        <v>0</v>
      </c>
      <c r="L181" s="443"/>
      <c r="M181" s="443">
        <f t="shared" si="4"/>
        <v>0</v>
      </c>
      <c r="N181" s="443"/>
      <c r="O181" s="443">
        <v>0</v>
      </c>
      <c r="P181" s="695"/>
      <c r="Q181" s="1221"/>
    </row>
    <row r="182" spans="2:17" s="789" customFormat="1" ht="15.5">
      <c r="B182" s="795">
        <v>23001</v>
      </c>
      <c r="C182" s="802"/>
      <c r="D182" s="801" t="s">
        <v>1257</v>
      </c>
      <c r="E182" s="803"/>
      <c r="F182" s="803"/>
      <c r="G182" s="443">
        <v>25343300.539999999</v>
      </c>
      <c r="H182" s="443"/>
      <c r="I182" s="443">
        <v>25964580.440000001</v>
      </c>
      <c r="J182" s="443"/>
      <c r="K182" s="443">
        <v>26274231.489999998</v>
      </c>
      <c r="L182" s="443"/>
      <c r="M182" s="443">
        <f t="shared" si="4"/>
        <v>348385.58999999985</v>
      </c>
      <c r="N182" s="443"/>
      <c r="O182" s="443">
        <v>26622617.079999998</v>
      </c>
      <c r="P182" s="695"/>
      <c r="Q182" s="1221"/>
    </row>
    <row r="183" spans="2:17" s="789" customFormat="1" ht="15.5">
      <c r="B183" s="795">
        <v>23102</v>
      </c>
      <c r="C183" s="802"/>
      <c r="D183" s="796" t="s">
        <v>1258</v>
      </c>
      <c r="E183" s="803"/>
      <c r="F183" s="803"/>
      <c r="G183" s="443">
        <v>0</v>
      </c>
      <c r="H183" s="443"/>
      <c r="I183" s="443">
        <v>0</v>
      </c>
      <c r="J183" s="443"/>
      <c r="K183" s="443">
        <v>0</v>
      </c>
      <c r="L183" s="443"/>
      <c r="M183" s="443">
        <f t="shared" si="4"/>
        <v>0</v>
      </c>
      <c r="N183" s="443"/>
      <c r="O183" s="443">
        <v>0</v>
      </c>
      <c r="P183" s="695"/>
      <c r="Q183" s="1221"/>
    </row>
    <row r="184" spans="2:17" s="789" customFormat="1" ht="15.5">
      <c r="B184" s="795">
        <v>23151</v>
      </c>
      <c r="C184" s="802"/>
      <c r="D184" s="801" t="s">
        <v>1259</v>
      </c>
      <c r="E184" s="803"/>
      <c r="F184" s="803"/>
      <c r="G184" s="443">
        <v>51705166.090000004</v>
      </c>
      <c r="H184" s="443"/>
      <c r="I184" s="443">
        <v>55613771.210000001</v>
      </c>
      <c r="J184" s="443"/>
      <c r="K184" s="443">
        <v>58560797.520000003</v>
      </c>
      <c r="L184" s="443"/>
      <c r="M184" s="443">
        <f t="shared" si="4"/>
        <v>2734496.5099999979</v>
      </c>
      <c r="N184" s="443"/>
      <c r="O184" s="443">
        <v>61295294.030000001</v>
      </c>
      <c r="P184" s="695"/>
      <c r="Q184" s="1221"/>
    </row>
    <row r="185" spans="2:17" s="789" customFormat="1" ht="15.5">
      <c r="B185" s="795">
        <v>23701</v>
      </c>
      <c r="C185" s="802"/>
      <c r="D185" s="801" t="s">
        <v>1260</v>
      </c>
      <c r="E185" s="803"/>
      <c r="F185" s="803"/>
      <c r="G185" s="443">
        <v>0</v>
      </c>
      <c r="H185" s="443"/>
      <c r="I185" s="443">
        <v>0</v>
      </c>
      <c r="J185" s="443"/>
      <c r="K185" s="443">
        <v>0</v>
      </c>
      <c r="L185" s="443"/>
      <c r="M185" s="443">
        <f t="shared" si="4"/>
        <v>0</v>
      </c>
      <c r="N185" s="443"/>
      <c r="O185" s="443">
        <v>0</v>
      </c>
      <c r="P185" s="695"/>
      <c r="Q185" s="1221"/>
    </row>
    <row r="186" spans="2:17" s="789" customFormat="1" ht="15.5">
      <c r="B186" s="812">
        <v>23702</v>
      </c>
      <c r="C186" s="802"/>
      <c r="D186" s="796" t="s">
        <v>1261</v>
      </c>
      <c r="E186" s="803"/>
      <c r="F186" s="803"/>
      <c r="G186" s="443">
        <v>28466148.190000001</v>
      </c>
      <c r="H186" s="443"/>
      <c r="I186" s="443">
        <v>28917717.43</v>
      </c>
      <c r="J186" s="443"/>
      <c r="K186" s="443">
        <v>29322549.699999999</v>
      </c>
      <c r="L186" s="443"/>
      <c r="M186" s="443">
        <f t="shared" si="4"/>
        <v>234133.3900000006</v>
      </c>
      <c r="N186" s="443"/>
      <c r="O186" s="443">
        <v>29556683.09</v>
      </c>
      <c r="P186" s="695"/>
      <c r="Q186" s="1221"/>
    </row>
    <row r="187" spans="2:17" s="789" customFormat="1" ht="15.5">
      <c r="B187" s="812">
        <v>23801</v>
      </c>
      <c r="C187" s="802"/>
      <c r="D187" s="796" t="s">
        <v>1262</v>
      </c>
      <c r="E187" s="803"/>
      <c r="F187" s="803"/>
      <c r="G187" s="443">
        <v>0</v>
      </c>
      <c r="H187" s="443"/>
      <c r="I187" s="443">
        <v>0</v>
      </c>
      <c r="J187" s="443"/>
      <c r="K187" s="443">
        <v>0</v>
      </c>
      <c r="L187" s="443"/>
      <c r="M187" s="443">
        <f t="shared" si="4"/>
        <v>0</v>
      </c>
      <c r="N187" s="443"/>
      <c r="O187" s="443">
        <v>0</v>
      </c>
      <c r="P187" s="798"/>
      <c r="Q187" s="1221"/>
    </row>
    <row r="188" spans="2:17" s="789" customFormat="1" ht="15.5">
      <c r="B188" s="812">
        <v>23806</v>
      </c>
      <c r="C188" s="802"/>
      <c r="D188" s="796" t="s">
        <v>1263</v>
      </c>
      <c r="E188" s="803"/>
      <c r="F188" s="803"/>
      <c r="G188" s="443">
        <v>1546615.56</v>
      </c>
      <c r="H188" s="443"/>
      <c r="I188" s="443">
        <v>1591311.85</v>
      </c>
      <c r="J188" s="443"/>
      <c r="K188" s="443">
        <v>1646192.1</v>
      </c>
      <c r="L188" s="443"/>
      <c r="M188" s="443">
        <f t="shared" si="4"/>
        <v>46632.059999999823</v>
      </c>
      <c r="N188" s="443"/>
      <c r="O188" s="443">
        <v>1692824.16</v>
      </c>
      <c r="P188" s="798"/>
      <c r="Q188" s="1221"/>
    </row>
    <row r="189" spans="2:17" s="789" customFormat="1" ht="15.5">
      <c r="B189" s="812">
        <v>24800</v>
      </c>
      <c r="C189" s="802"/>
      <c r="D189" s="796" t="s">
        <v>1264</v>
      </c>
      <c r="E189" s="803"/>
      <c r="F189" s="803"/>
      <c r="G189" s="443">
        <v>0</v>
      </c>
      <c r="H189" s="443"/>
      <c r="I189" s="443">
        <v>0</v>
      </c>
      <c r="J189" s="443"/>
      <c r="K189" s="443">
        <v>0</v>
      </c>
      <c r="L189" s="443"/>
      <c r="M189" s="443">
        <f t="shared" si="4"/>
        <v>0</v>
      </c>
      <c r="N189" s="443"/>
      <c r="O189" s="443">
        <v>0</v>
      </c>
      <c r="P189" s="798"/>
      <c r="Q189" s="1221"/>
    </row>
    <row r="190" spans="2:17" s="789" customFormat="1" ht="15.5">
      <c r="B190" s="812">
        <v>24951</v>
      </c>
      <c r="C190" s="802"/>
      <c r="D190" s="796" t="s">
        <v>1265</v>
      </c>
      <c r="E190" s="803"/>
      <c r="F190" s="803"/>
      <c r="G190" s="443">
        <v>79044.710000000006</v>
      </c>
      <c r="H190" s="443"/>
      <c r="I190" s="443">
        <v>78904.009999999995</v>
      </c>
      <c r="J190" s="443"/>
      <c r="K190" s="443">
        <v>110895.3</v>
      </c>
      <c r="L190" s="443"/>
      <c r="M190" s="443">
        <f t="shared" si="4"/>
        <v>0</v>
      </c>
      <c r="N190" s="443"/>
      <c r="O190" s="443">
        <v>110895.3</v>
      </c>
      <c r="P190" s="798"/>
      <c r="Q190" s="1221"/>
    </row>
    <row r="191" spans="2:17" s="789" customFormat="1" ht="15.5">
      <c r="B191" s="812">
        <v>24955</v>
      </c>
      <c r="C191" s="802"/>
      <c r="D191" s="796" t="s">
        <v>1266</v>
      </c>
      <c r="E191" s="803"/>
      <c r="F191" s="803"/>
      <c r="G191" s="443">
        <v>142564558.56999999</v>
      </c>
      <c r="H191" s="443"/>
      <c r="I191" s="443">
        <v>49282829.539999999</v>
      </c>
      <c r="J191" s="443"/>
      <c r="K191" s="443">
        <v>0</v>
      </c>
      <c r="L191" s="443"/>
      <c r="M191" s="443">
        <f t="shared" si="4"/>
        <v>0</v>
      </c>
      <c r="N191" s="443"/>
      <c r="O191" s="443">
        <v>0</v>
      </c>
      <c r="P191" s="798"/>
      <c r="Q191" s="1221"/>
    </row>
    <row r="192" spans="2:17" s="789" customFormat="1" ht="16" thickBot="1">
      <c r="B192" s="804"/>
      <c r="C192" s="791"/>
      <c r="D192" s="799" t="s">
        <v>1267</v>
      </c>
      <c r="E192" s="793"/>
      <c r="F192" s="793"/>
      <c r="G192" s="1743">
        <f>SUM(G106:G191)</f>
        <v>1718907613.8299997</v>
      </c>
      <c r="H192" s="1744"/>
      <c r="I192" s="1743">
        <f>SUM(I106:I191)</f>
        <v>1336568432.29</v>
      </c>
      <c r="J192" s="1744"/>
      <c r="K192" s="1743">
        <f>SUM(K106:K191)</f>
        <v>1072097593.4700003</v>
      </c>
      <c r="L192"/>
      <c r="M192" s="1743">
        <f>SUM(M106:M191)</f>
        <v>-112160627.53000002</v>
      </c>
      <c r="N192"/>
      <c r="O192" s="1743">
        <f>SUM(O106:O191)</f>
        <v>959936965.93999994</v>
      </c>
      <c r="P192" s="798"/>
      <c r="Q192" s="1221"/>
    </row>
    <row r="193" spans="2:17" s="789" customFormat="1" ht="16" thickTop="1">
      <c r="B193" s="806"/>
      <c r="C193" s="794"/>
      <c r="D193" s="813"/>
      <c r="E193" s="802"/>
      <c r="F193" s="802"/>
      <c r="G193" s="695"/>
      <c r="H193" s="1746"/>
      <c r="I193" s="695"/>
      <c r="J193" s="1746"/>
      <c r="K193" s="695"/>
      <c r="L193" s="1746"/>
      <c r="M193" s="443"/>
      <c r="N193" s="1746"/>
      <c r="O193" s="695"/>
      <c r="P193" s="798"/>
      <c r="Q193" s="1221"/>
    </row>
    <row r="194" spans="2:17" s="789" customFormat="1" ht="15.5">
      <c r="B194" s="806"/>
      <c r="C194" s="791"/>
      <c r="D194" s="799" t="s">
        <v>1268</v>
      </c>
      <c r="E194" s="793"/>
      <c r="F194" s="793"/>
      <c r="G194" s="695"/>
      <c r="H194" s="1746"/>
      <c r="I194" s="695"/>
      <c r="J194" s="1746"/>
      <c r="K194" s="695"/>
      <c r="L194" s="1746"/>
      <c r="M194" s="1747"/>
      <c r="N194" s="1744"/>
      <c r="O194" s="695"/>
      <c r="P194" s="798"/>
      <c r="Q194" s="1221"/>
    </row>
    <row r="195" spans="2:17" s="789" customFormat="1" ht="15.5">
      <c r="B195" s="814" t="s">
        <v>1269</v>
      </c>
      <c r="C195" s="976"/>
      <c r="D195" s="801" t="s">
        <v>1270</v>
      </c>
      <c r="E195" s="864"/>
      <c r="F195" s="864"/>
      <c r="G195" s="2094">
        <v>69312967.469999999</v>
      </c>
      <c r="H195" s="443"/>
      <c r="I195" s="2094">
        <v>100813807.06</v>
      </c>
      <c r="J195" s="443"/>
      <c r="K195" s="2094">
        <v>52824280.359999999</v>
      </c>
      <c r="L195" s="342"/>
      <c r="M195" s="443">
        <f t="shared" ref="M195:M203" si="5">O195-K195</f>
        <v>-40761239.340000004</v>
      </c>
      <c r="N195" s="443"/>
      <c r="O195" s="2094">
        <v>12063041.02</v>
      </c>
      <c r="P195" s="798"/>
      <c r="Q195" s="1221"/>
    </row>
    <row r="196" spans="2:17" s="789" customFormat="1" ht="15.5">
      <c r="B196" s="814" t="s">
        <v>1271</v>
      </c>
      <c r="C196" s="976"/>
      <c r="D196" s="801" t="s">
        <v>1272</v>
      </c>
      <c r="E196" s="864"/>
      <c r="F196" s="864"/>
      <c r="G196" s="2094">
        <v>286127855.94</v>
      </c>
      <c r="H196" s="443"/>
      <c r="I196" s="2094">
        <v>362564809.25</v>
      </c>
      <c r="J196" s="443"/>
      <c r="K196" s="2094">
        <v>1383257208.74</v>
      </c>
      <c r="L196" s="342"/>
      <c r="M196" s="443">
        <f>O196-K196</f>
        <v>-1161222346.02</v>
      </c>
      <c r="N196" s="443"/>
      <c r="O196" s="2094">
        <v>222034862.71999997</v>
      </c>
      <c r="P196" s="798"/>
      <c r="Q196" s="1221"/>
    </row>
    <row r="197" spans="2:17" s="789" customFormat="1" ht="15.5">
      <c r="B197" s="814" t="s">
        <v>1273</v>
      </c>
      <c r="C197" s="976"/>
      <c r="D197" s="796" t="s">
        <v>1274</v>
      </c>
      <c r="E197" s="864"/>
      <c r="F197" s="864"/>
      <c r="G197" s="2094">
        <v>125989041.01000001</v>
      </c>
      <c r="H197" s="443"/>
      <c r="I197" s="2094">
        <v>153274924.25999999</v>
      </c>
      <c r="J197" s="443"/>
      <c r="K197" s="2094">
        <v>35352976.040000007</v>
      </c>
      <c r="L197" s="342"/>
      <c r="M197" s="443">
        <f t="shared" si="5"/>
        <v>58657001.029999986</v>
      </c>
      <c r="N197" s="443"/>
      <c r="O197" s="2094">
        <v>94009977.069999993</v>
      </c>
      <c r="P197" s="798"/>
      <c r="Q197" s="1221"/>
    </row>
    <row r="198" spans="2:17" s="789" customFormat="1" ht="15.5">
      <c r="B198" s="814" t="s">
        <v>1275</v>
      </c>
      <c r="C198" s="796"/>
      <c r="D198" s="801" t="s">
        <v>1276</v>
      </c>
      <c r="E198" s="864"/>
      <c r="F198" s="864"/>
      <c r="G198" s="2094">
        <v>455772358.17000002</v>
      </c>
      <c r="H198" s="443"/>
      <c r="I198" s="2094">
        <v>395275497.31000006</v>
      </c>
      <c r="J198" s="443"/>
      <c r="K198" s="2094">
        <v>560192990.82999992</v>
      </c>
      <c r="L198" s="342"/>
      <c r="M198" s="443">
        <f t="shared" si="5"/>
        <v>-176967876.45999986</v>
      </c>
      <c r="N198" s="443"/>
      <c r="O198" s="2094">
        <v>383225114.37000006</v>
      </c>
      <c r="P198" s="798"/>
      <c r="Q198" s="1221"/>
    </row>
    <row r="199" spans="2:17" s="789" customFormat="1" ht="15.5">
      <c r="B199" s="777">
        <v>31354</v>
      </c>
      <c r="C199" s="865"/>
      <c r="D199" s="796" t="s">
        <v>1277</v>
      </c>
      <c r="E199" s="864"/>
      <c r="F199" s="864"/>
      <c r="G199" s="443">
        <v>393131407.37</v>
      </c>
      <c r="H199" s="443"/>
      <c r="I199" s="443">
        <v>374542384.62</v>
      </c>
      <c r="J199" s="443"/>
      <c r="K199" s="443">
        <v>380915828.07999998</v>
      </c>
      <c r="L199" s="443"/>
      <c r="M199" s="443">
        <f t="shared" si="5"/>
        <v>-43375495.24000001</v>
      </c>
      <c r="N199" s="443"/>
      <c r="O199" s="443">
        <v>337540332.83999997</v>
      </c>
      <c r="P199" s="803"/>
      <c r="Q199" s="443"/>
    </row>
    <row r="200" spans="2:17" s="789" customFormat="1" ht="15.5">
      <c r="B200" s="866" t="s">
        <v>1278</v>
      </c>
      <c r="C200" s="802"/>
      <c r="D200" s="801" t="s">
        <v>1279</v>
      </c>
      <c r="E200" s="864"/>
      <c r="F200" s="864"/>
      <c r="G200" s="2095">
        <v>117837279.15000004</v>
      </c>
      <c r="H200" s="443"/>
      <c r="I200" s="2095">
        <v>118677435.04000008</v>
      </c>
      <c r="J200" s="443"/>
      <c r="K200" s="2095">
        <v>124428529.50000006</v>
      </c>
      <c r="L200" s="342"/>
      <c r="M200" s="443">
        <f t="shared" si="5"/>
        <v>-3995818.6300000548</v>
      </c>
      <c r="N200" s="443"/>
      <c r="O200" s="2095">
        <v>120432710.87</v>
      </c>
      <c r="P200" s="807"/>
      <c r="Q200" s="1221" t="s">
        <v>103</v>
      </c>
    </row>
    <row r="201" spans="2:17" s="789" customFormat="1" ht="15.5">
      <c r="B201" s="812" t="s">
        <v>1280</v>
      </c>
      <c r="C201" s="802"/>
      <c r="D201" s="801" t="s">
        <v>1281</v>
      </c>
      <c r="E201" s="814"/>
      <c r="F201" s="814"/>
      <c r="G201" s="2095">
        <v>20818257.760000002</v>
      </c>
      <c r="H201" s="443"/>
      <c r="I201" s="2095">
        <v>26302638.219999999</v>
      </c>
      <c r="J201" s="443"/>
      <c r="K201" s="2095">
        <v>22070491.300000001</v>
      </c>
      <c r="L201" s="342"/>
      <c r="M201" s="443">
        <f t="shared" si="5"/>
        <v>5714875.7599999979</v>
      </c>
      <c r="N201" s="443"/>
      <c r="O201" s="2095">
        <v>27785367.059999999</v>
      </c>
      <c r="P201" s="814"/>
      <c r="Q201" s="1221"/>
    </row>
    <row r="202" spans="2:17" s="789" customFormat="1" ht="15.5">
      <c r="B202" s="795">
        <v>25950</v>
      </c>
      <c r="C202" s="802"/>
      <c r="D202" s="801" t="s">
        <v>1282</v>
      </c>
      <c r="E202" s="815"/>
      <c r="F202" s="815"/>
      <c r="G202" s="443">
        <v>506429.5</v>
      </c>
      <c r="H202" s="443"/>
      <c r="I202" s="443">
        <v>506933.5</v>
      </c>
      <c r="J202" s="443"/>
      <c r="K202" s="443">
        <v>422496.76</v>
      </c>
      <c r="L202" s="443"/>
      <c r="M202" s="443">
        <f t="shared" si="5"/>
        <v>-1119.929999999993</v>
      </c>
      <c r="N202" s="443"/>
      <c r="O202" s="443">
        <v>421376.83</v>
      </c>
      <c r="P202" s="814"/>
      <c r="Q202" s="1221"/>
    </row>
    <row r="203" spans="2:17" s="789" customFormat="1" ht="15.5">
      <c r="B203" s="812" t="s">
        <v>1283</v>
      </c>
      <c r="C203" s="802"/>
      <c r="D203" s="796" t="s">
        <v>1284</v>
      </c>
      <c r="E203" s="814"/>
      <c r="F203" s="814"/>
      <c r="G203" s="2094">
        <v>9213567.9700000007</v>
      </c>
      <c r="H203" s="443"/>
      <c r="I203" s="2094">
        <v>6978926.0599999996</v>
      </c>
      <c r="J203" s="443"/>
      <c r="K203" s="2094">
        <v>7222243.9199999999</v>
      </c>
      <c r="L203" s="342"/>
      <c r="M203" s="443">
        <f t="shared" si="5"/>
        <v>-4746286.59</v>
      </c>
      <c r="N203" s="443"/>
      <c r="O203" s="2094">
        <v>2475957.33</v>
      </c>
      <c r="P203" s="814"/>
      <c r="Q203" s="1221"/>
    </row>
    <row r="204" spans="2:17" s="789" customFormat="1" ht="16" thickBot="1">
      <c r="B204" s="807"/>
      <c r="C204" s="791"/>
      <c r="D204" s="799" t="s">
        <v>1285</v>
      </c>
      <c r="E204" s="800"/>
      <c r="F204" s="800"/>
      <c r="G204" s="1743">
        <f>SUM(G195:G203)</f>
        <v>1478709164.3400002</v>
      </c>
      <c r="H204" s="1744"/>
      <c r="I204" s="1743">
        <f>SUM(I195:I203)</f>
        <v>1538937355.3199999</v>
      </c>
      <c r="J204" s="1744"/>
      <c r="K204" s="1743">
        <f>SUM(K195:K203)</f>
        <v>2566687045.5300002</v>
      </c>
      <c r="L204"/>
      <c r="M204" s="1743">
        <f>SUM(M195:M203)</f>
        <v>-1366698305.4199998</v>
      </c>
      <c r="N204"/>
      <c r="O204" s="1743">
        <f>SUM(O195:O203)</f>
        <v>1199988740.1099997</v>
      </c>
      <c r="P204" s="803" t="s">
        <v>273</v>
      </c>
      <c r="Q204" s="1221"/>
    </row>
    <row r="205" spans="2:17" s="789" customFormat="1" ht="16" thickTop="1">
      <c r="B205" s="804"/>
      <c r="C205" s="791"/>
      <c r="D205" s="803"/>
      <c r="E205" s="800"/>
      <c r="F205" s="800"/>
      <c r="G205" s="816"/>
      <c r="H205" s="1744"/>
      <c r="I205" s="816"/>
      <c r="J205" s="1744"/>
      <c r="K205" s="816"/>
      <c r="L205" s="1744"/>
      <c r="M205" s="1747"/>
      <c r="N205" s="1744"/>
      <c r="O205" s="816"/>
      <c r="P205" s="866"/>
      <c r="Q205" s="1221"/>
    </row>
    <row r="206" spans="2:17" s="789" customFormat="1" ht="15.5">
      <c r="B206" s="806"/>
      <c r="C206" s="791"/>
      <c r="D206" s="792" t="s">
        <v>1286</v>
      </c>
      <c r="E206" s="800"/>
      <c r="F206" s="800"/>
      <c r="G206" s="695"/>
      <c r="H206" s="1746"/>
      <c r="I206" s="695"/>
      <c r="J206" s="1746"/>
      <c r="K206" s="695"/>
      <c r="L206" s="1746"/>
      <c r="M206" s="1747"/>
      <c r="N206" s="1744"/>
      <c r="O206" s="695"/>
      <c r="P206" s="812"/>
      <c r="Q206" s="1221"/>
    </row>
    <row r="207" spans="2:17" s="789" customFormat="1" ht="15.5">
      <c r="B207" s="795">
        <v>60201</v>
      </c>
      <c r="C207" s="791"/>
      <c r="D207" s="801" t="s">
        <v>1287</v>
      </c>
      <c r="E207" s="800"/>
      <c r="F207" s="800"/>
      <c r="G207" s="443">
        <v>699149960.76999998</v>
      </c>
      <c r="H207" s="443"/>
      <c r="I207" s="443">
        <v>46742087.049999997</v>
      </c>
      <c r="J207" s="443"/>
      <c r="K207" s="443">
        <v>456915860.75</v>
      </c>
      <c r="L207" s="443"/>
      <c r="M207" s="443">
        <f t="shared" ref="M207:M208" si="6">O207-K207</f>
        <v>113880784.95000005</v>
      </c>
      <c r="N207" s="443"/>
      <c r="O207" s="443">
        <v>570796645.70000005</v>
      </c>
      <c r="P207" s="812"/>
      <c r="Q207" s="1221"/>
    </row>
    <row r="208" spans="2:17" s="789" customFormat="1" ht="15.5">
      <c r="B208" s="795">
        <v>60901</v>
      </c>
      <c r="C208" s="802"/>
      <c r="D208" s="796" t="s">
        <v>1288</v>
      </c>
      <c r="E208" s="803"/>
      <c r="F208" s="803"/>
      <c r="G208" s="443">
        <v>0</v>
      </c>
      <c r="H208" s="443"/>
      <c r="I208" s="443">
        <v>0</v>
      </c>
      <c r="J208" s="443"/>
      <c r="K208" s="443">
        <v>0</v>
      </c>
      <c r="L208" s="443"/>
      <c r="M208" s="443">
        <f t="shared" si="6"/>
        <v>0</v>
      </c>
      <c r="N208" s="443"/>
      <c r="O208" s="443">
        <v>0</v>
      </c>
      <c r="P208" s="812"/>
      <c r="Q208" s="1221" t="s">
        <v>103</v>
      </c>
    </row>
    <row r="209" spans="2:17" s="789" customFormat="1" ht="16" thickBot="1">
      <c r="B209" s="812"/>
      <c r="C209" s="791"/>
      <c r="D209" s="792" t="s">
        <v>1289</v>
      </c>
      <c r="E209" s="800"/>
      <c r="F209" s="800"/>
      <c r="G209" s="1205">
        <f>SUM(G207:G208)</f>
        <v>699149960.76999998</v>
      </c>
      <c r="H209" s="1744"/>
      <c r="I209" s="1205">
        <f>SUM(I207:I208)</f>
        <v>46742087.049999997</v>
      </c>
      <c r="J209" s="1744"/>
      <c r="K209" s="1205">
        <f>SUM(K207:K208)</f>
        <v>456915860.75</v>
      </c>
      <c r="L209" s="1744"/>
      <c r="M209" s="1205">
        <f>SUM(M207:M208)</f>
        <v>113880784.95000005</v>
      </c>
      <c r="N209" s="1744"/>
      <c r="O209" s="1205">
        <f>SUM(O207:O208)</f>
        <v>570796645.70000005</v>
      </c>
      <c r="P209" s="798"/>
      <c r="Q209" s="1221"/>
    </row>
    <row r="210" spans="2:17" s="789" customFormat="1" ht="16" thickTop="1">
      <c r="B210" s="812"/>
      <c r="C210" s="817"/>
      <c r="D210" s="817"/>
      <c r="E210" s="818"/>
      <c r="F210" s="818"/>
      <c r="G210" s="695"/>
      <c r="H210" s="1746"/>
      <c r="I210" s="695"/>
      <c r="J210" s="1746"/>
      <c r="K210" s="695"/>
      <c r="L210" s="1746"/>
      <c r="M210" s="443"/>
      <c r="N210" s="1746"/>
      <c r="O210" s="695"/>
      <c r="P210" s="798"/>
      <c r="Q210" s="1221"/>
    </row>
    <row r="211" spans="2:17" s="789" customFormat="1" ht="15.5">
      <c r="B211" s="812"/>
      <c r="C211" s="805"/>
      <c r="D211" s="792" t="s">
        <v>1290</v>
      </c>
      <c r="E211" s="809"/>
      <c r="F211" s="809"/>
      <c r="G211" s="695"/>
      <c r="H211" s="1746"/>
      <c r="I211" s="695"/>
      <c r="J211" s="1746"/>
      <c r="K211" s="695"/>
      <c r="L211" s="1746"/>
      <c r="M211" s="1748"/>
      <c r="N211" s="1749"/>
      <c r="O211" s="695"/>
      <c r="P211" s="866"/>
      <c r="Q211" s="1221"/>
    </row>
    <row r="212" spans="2:17" s="789" customFormat="1" ht="15.5">
      <c r="B212" s="795">
        <v>50318</v>
      </c>
      <c r="C212" s="794"/>
      <c r="D212" s="796" t="s">
        <v>1291</v>
      </c>
      <c r="E212" s="794"/>
      <c r="F212" s="794"/>
      <c r="G212" s="443">
        <v>275516.3</v>
      </c>
      <c r="H212" s="443"/>
      <c r="I212" s="443">
        <v>616102.69999999995</v>
      </c>
      <c r="J212" s="443"/>
      <c r="K212" s="443">
        <v>642110.27</v>
      </c>
      <c r="L212" s="443"/>
      <c r="M212" s="443">
        <f t="shared" ref="M212" si="7">O212-K212</f>
        <v>22180.25</v>
      </c>
      <c r="N212" s="443"/>
      <c r="O212" s="443">
        <v>664290.52</v>
      </c>
      <c r="P212" s="812"/>
      <c r="Q212" s="1221"/>
    </row>
    <row r="213" spans="2:17" s="789" customFormat="1" ht="15.5">
      <c r="B213" s="795">
        <v>50327</v>
      </c>
      <c r="C213" s="794"/>
      <c r="D213" s="796" t="s">
        <v>1292</v>
      </c>
      <c r="E213" s="794"/>
      <c r="F213" s="794"/>
      <c r="G213" s="443">
        <v>393917.99</v>
      </c>
      <c r="H213" s="443"/>
      <c r="I213" s="443">
        <v>394559.47</v>
      </c>
      <c r="J213" s="443"/>
      <c r="K213" s="443">
        <v>377926.85</v>
      </c>
      <c r="L213" s="443"/>
      <c r="M213" s="443">
        <f t="shared" ref="M213:M214" si="8">O213-K213</f>
        <v>-10276.880000000005</v>
      </c>
      <c r="N213" s="443"/>
      <c r="O213" s="443">
        <v>367649.97</v>
      </c>
      <c r="P213" s="812"/>
      <c r="Q213" s="1221"/>
    </row>
    <row r="214" spans="2:17" s="789" customFormat="1" ht="15.5">
      <c r="B214" s="795">
        <v>50651</v>
      </c>
      <c r="C214" s="794"/>
      <c r="D214" s="796" t="s">
        <v>1293</v>
      </c>
      <c r="E214" s="794"/>
      <c r="F214" s="794"/>
      <c r="G214" s="443">
        <v>0</v>
      </c>
      <c r="H214" s="443"/>
      <c r="I214" s="443">
        <v>0</v>
      </c>
      <c r="J214" s="443"/>
      <c r="K214" s="443">
        <v>0</v>
      </c>
      <c r="L214" s="443"/>
      <c r="M214" s="443">
        <f t="shared" si="8"/>
        <v>0</v>
      </c>
      <c r="N214" s="443"/>
      <c r="O214" s="443">
        <v>0</v>
      </c>
      <c r="P214" s="812"/>
      <c r="Q214" s="1221"/>
    </row>
    <row r="215" spans="2:17" s="789" customFormat="1" ht="16" thickBot="1">
      <c r="B215" s="807"/>
      <c r="C215" s="791"/>
      <c r="D215" s="799" t="s">
        <v>1294</v>
      </c>
      <c r="E215" s="793"/>
      <c r="F215" s="793"/>
      <c r="G215" s="1750">
        <f>SUM(G212:G214)</f>
        <v>669434.29</v>
      </c>
      <c r="H215" s="1744"/>
      <c r="I215" s="1750">
        <f>SUM(I212:I214)</f>
        <v>1010662.1699999999</v>
      </c>
      <c r="J215" s="1744"/>
      <c r="K215" s="1750">
        <f>SUM(K212:K214)</f>
        <v>1020037.12</v>
      </c>
      <c r="L215" s="1744"/>
      <c r="M215" s="1750">
        <f>SUM(M212:M214)</f>
        <v>11903.369999999995</v>
      </c>
      <c r="N215" s="1744"/>
      <c r="O215" s="1750">
        <f>SUM(O212:O214)</f>
        <v>1031940.49</v>
      </c>
      <c r="P215" s="807"/>
      <c r="Q215" s="1221"/>
    </row>
    <row r="216" spans="2:17" s="789" customFormat="1" ht="16" thickTop="1">
      <c r="B216" s="794"/>
      <c r="C216" s="794"/>
      <c r="D216" s="819"/>
      <c r="E216" s="794"/>
      <c r="F216" s="794"/>
      <c r="G216" s="695"/>
      <c r="H216" s="1751"/>
      <c r="I216" s="695"/>
      <c r="J216" s="1751"/>
      <c r="K216" s="695"/>
      <c r="L216" s="1751"/>
      <c r="M216" s="1751"/>
      <c r="N216" s="1751"/>
      <c r="O216" s="695"/>
      <c r="P216" s="807"/>
      <c r="Q216" s="1221"/>
    </row>
    <row r="217" spans="2:17" s="789" customFormat="1" ht="15.5">
      <c r="B217" s="790"/>
      <c r="C217" s="791"/>
      <c r="D217" s="792" t="s">
        <v>605</v>
      </c>
      <c r="E217" s="793"/>
      <c r="F217" s="793"/>
      <c r="G217" s="939"/>
      <c r="H217" s="1746"/>
      <c r="I217" s="939"/>
      <c r="J217" s="1746"/>
      <c r="K217" s="939"/>
      <c r="L217" s="1746"/>
      <c r="M217" s="1744"/>
      <c r="N217" s="1744"/>
      <c r="O217" s="939"/>
      <c r="P217" s="794"/>
      <c r="Q217" s="1221"/>
    </row>
    <row r="218" spans="2:17" s="789" customFormat="1" ht="15.5">
      <c r="B218" s="795">
        <v>55001</v>
      </c>
      <c r="C218" s="794"/>
      <c r="D218" s="796" t="s">
        <v>1295</v>
      </c>
      <c r="E218" s="794"/>
      <c r="F218" s="794"/>
      <c r="G218" s="443">
        <v>0</v>
      </c>
      <c r="H218" s="443"/>
      <c r="I218" s="443">
        <v>0</v>
      </c>
      <c r="J218" s="443"/>
      <c r="K218" s="443">
        <v>0</v>
      </c>
      <c r="L218" s="443"/>
      <c r="M218" s="443">
        <f t="shared" ref="M218" si="9">O218-K218</f>
        <v>0</v>
      </c>
      <c r="N218" s="443"/>
      <c r="O218" s="443">
        <v>0</v>
      </c>
      <c r="P218" s="798"/>
      <c r="Q218" s="1221"/>
    </row>
    <row r="219" spans="2:17" s="789" customFormat="1" ht="15.5">
      <c r="B219" s="795">
        <v>55002</v>
      </c>
      <c r="C219" s="794"/>
      <c r="D219" s="796" t="s">
        <v>1296</v>
      </c>
      <c r="E219" s="794"/>
      <c r="F219" s="794"/>
      <c r="G219" s="443">
        <v>0</v>
      </c>
      <c r="H219" s="443"/>
      <c r="I219" s="443">
        <v>0</v>
      </c>
      <c r="J219" s="443"/>
      <c r="K219" s="443">
        <v>0</v>
      </c>
      <c r="L219" s="443"/>
      <c r="M219" s="443">
        <f t="shared" ref="M219:M261" si="10">O219-K219</f>
        <v>0</v>
      </c>
      <c r="N219" s="443"/>
      <c r="O219" s="443">
        <v>0</v>
      </c>
      <c r="P219" s="798"/>
      <c r="Q219" s="1221"/>
    </row>
    <row r="220" spans="2:17" s="789" customFormat="1" ht="15.5">
      <c r="B220" s="795">
        <v>55003</v>
      </c>
      <c r="C220" s="802"/>
      <c r="D220" s="796" t="s">
        <v>1297</v>
      </c>
      <c r="E220" s="803"/>
      <c r="F220" s="803"/>
      <c r="G220" s="443">
        <v>0</v>
      </c>
      <c r="H220" s="443"/>
      <c r="I220" s="443">
        <v>0</v>
      </c>
      <c r="J220" s="443"/>
      <c r="K220" s="443">
        <v>0</v>
      </c>
      <c r="L220" s="443"/>
      <c r="M220" s="443">
        <f t="shared" si="10"/>
        <v>0</v>
      </c>
      <c r="N220" s="443"/>
      <c r="O220" s="443">
        <v>0</v>
      </c>
      <c r="P220" s="798"/>
      <c r="Q220" s="1221"/>
    </row>
    <row r="221" spans="2:17" s="789" customFormat="1" ht="15.5">
      <c r="B221" s="795">
        <v>55004</v>
      </c>
      <c r="C221" s="802"/>
      <c r="D221" s="801" t="s">
        <v>1298</v>
      </c>
      <c r="E221" s="803"/>
      <c r="F221" s="803"/>
      <c r="G221" s="443">
        <v>403920.21</v>
      </c>
      <c r="H221" s="443"/>
      <c r="I221" s="443">
        <v>614021.78</v>
      </c>
      <c r="J221" s="443"/>
      <c r="K221" s="443">
        <v>615093.85</v>
      </c>
      <c r="L221" s="443"/>
      <c r="M221" s="443">
        <f t="shared" si="10"/>
        <v>187025.25</v>
      </c>
      <c r="N221" s="443"/>
      <c r="O221" s="443">
        <v>802119.1</v>
      </c>
      <c r="P221" s="798"/>
      <c r="Q221" s="1221"/>
    </row>
    <row r="222" spans="2:17" s="789" customFormat="1" ht="15.5">
      <c r="B222" s="795">
        <v>55005</v>
      </c>
      <c r="C222" s="802"/>
      <c r="D222" s="801" t="s">
        <v>1299</v>
      </c>
      <c r="E222" s="803"/>
      <c r="F222" s="803"/>
      <c r="G222" s="443">
        <v>0</v>
      </c>
      <c r="H222" s="443"/>
      <c r="I222" s="443">
        <v>0</v>
      </c>
      <c r="J222" s="443"/>
      <c r="K222" s="443">
        <v>0</v>
      </c>
      <c r="L222" s="443"/>
      <c r="M222" s="443">
        <f t="shared" si="10"/>
        <v>0</v>
      </c>
      <c r="N222" s="443"/>
      <c r="O222" s="443">
        <v>0</v>
      </c>
      <c r="P222" s="798"/>
      <c r="Q222" s="1221"/>
    </row>
    <row r="223" spans="2:17" s="789" customFormat="1" ht="15.5">
      <c r="B223" s="795">
        <v>55006</v>
      </c>
      <c r="C223" s="802"/>
      <c r="D223" s="796" t="s">
        <v>1300</v>
      </c>
      <c r="E223" s="803"/>
      <c r="F223" s="803"/>
      <c r="G223" s="443">
        <v>121607.64</v>
      </c>
      <c r="H223" s="443"/>
      <c r="I223" s="443">
        <v>113961.94</v>
      </c>
      <c r="J223" s="443"/>
      <c r="K223" s="443">
        <v>110273.87</v>
      </c>
      <c r="L223" s="443"/>
      <c r="M223" s="443">
        <f t="shared" si="10"/>
        <v>2167.5299999999988</v>
      </c>
      <c r="N223" s="443"/>
      <c r="O223" s="443">
        <v>112441.4</v>
      </c>
      <c r="P223" s="798"/>
      <c r="Q223" s="1221"/>
    </row>
    <row r="224" spans="2:17" s="789" customFormat="1" ht="15.5">
      <c r="B224" s="795">
        <v>55007</v>
      </c>
      <c r="C224" s="810"/>
      <c r="D224" s="796" t="s">
        <v>1301</v>
      </c>
      <c r="E224" s="811"/>
      <c r="F224" s="811"/>
      <c r="G224" s="443">
        <v>2951566.56</v>
      </c>
      <c r="H224" s="443"/>
      <c r="I224" s="443">
        <v>3087839.78</v>
      </c>
      <c r="J224" s="443"/>
      <c r="K224" s="443">
        <v>3065078.47</v>
      </c>
      <c r="L224" s="443"/>
      <c r="M224" s="443">
        <f t="shared" si="10"/>
        <v>124921.46999999974</v>
      </c>
      <c r="N224" s="443"/>
      <c r="O224" s="443">
        <v>3189999.94</v>
      </c>
      <c r="P224" s="798"/>
      <c r="Q224" s="1221"/>
    </row>
    <row r="225" spans="2:17" s="789" customFormat="1" ht="15.5">
      <c r="B225" s="795">
        <v>55008</v>
      </c>
      <c r="C225" s="802"/>
      <c r="D225" s="801" t="s">
        <v>1302</v>
      </c>
      <c r="E225" s="803"/>
      <c r="F225" s="803"/>
      <c r="G225" s="443">
        <v>5276582.92</v>
      </c>
      <c r="H225" s="443"/>
      <c r="I225" s="443">
        <v>11867339.5</v>
      </c>
      <c r="J225" s="443"/>
      <c r="K225" s="443">
        <v>9902425.8200000003</v>
      </c>
      <c r="L225" s="443"/>
      <c r="M225" s="443">
        <f t="shared" si="10"/>
        <v>9654904.5599999987</v>
      </c>
      <c r="N225" s="443"/>
      <c r="O225" s="443">
        <v>19557330.379999999</v>
      </c>
      <c r="P225" s="807"/>
      <c r="Q225" s="1221"/>
    </row>
    <row r="226" spans="2:17" s="789" customFormat="1" ht="15.5">
      <c r="B226" s="795">
        <v>55009</v>
      </c>
      <c r="C226" s="802"/>
      <c r="D226" s="801" t="s">
        <v>1303</v>
      </c>
      <c r="E226" s="803"/>
      <c r="F226" s="803"/>
      <c r="G226" s="443">
        <v>0</v>
      </c>
      <c r="H226" s="443"/>
      <c r="I226" s="443">
        <v>0</v>
      </c>
      <c r="J226" s="443"/>
      <c r="K226" s="443">
        <v>0</v>
      </c>
      <c r="L226" s="443"/>
      <c r="M226" s="443">
        <f t="shared" si="10"/>
        <v>0</v>
      </c>
      <c r="N226" s="443"/>
      <c r="O226" s="443">
        <v>0</v>
      </c>
      <c r="P226" s="807"/>
      <c r="Q226" s="1221"/>
    </row>
    <row r="227" spans="2:17" s="789" customFormat="1" ht="15.5">
      <c r="B227" s="777">
        <v>55010</v>
      </c>
      <c r="C227" s="802"/>
      <c r="D227" s="796" t="s">
        <v>1304</v>
      </c>
      <c r="E227" s="803"/>
      <c r="F227" s="803"/>
      <c r="G227" s="443">
        <v>2247518.66</v>
      </c>
      <c r="H227" s="443"/>
      <c r="I227" s="443">
        <v>1035190.6</v>
      </c>
      <c r="J227" s="443"/>
      <c r="K227" s="443">
        <v>2141204.34</v>
      </c>
      <c r="L227" s="443"/>
      <c r="M227" s="443">
        <f t="shared" si="10"/>
        <v>-755250.07999999984</v>
      </c>
      <c r="N227" s="443"/>
      <c r="O227" s="443">
        <v>1385954.26</v>
      </c>
      <c r="P227" s="794"/>
      <c r="Q227" s="1221"/>
    </row>
    <row r="228" spans="2:17" s="789" customFormat="1" ht="15.5">
      <c r="B228" s="795">
        <v>55011</v>
      </c>
      <c r="C228" s="810"/>
      <c r="D228" s="796" t="s">
        <v>1305</v>
      </c>
      <c r="E228" s="811"/>
      <c r="F228" s="811"/>
      <c r="G228" s="443">
        <v>0</v>
      </c>
      <c r="H228" s="443"/>
      <c r="I228" s="443">
        <v>0</v>
      </c>
      <c r="J228" s="443"/>
      <c r="K228" s="443">
        <v>5291129.8099999996</v>
      </c>
      <c r="L228" s="443"/>
      <c r="M228" s="443">
        <f t="shared" si="10"/>
        <v>345430.56000000052</v>
      </c>
      <c r="N228" s="443"/>
      <c r="O228" s="443">
        <v>5636560.3700000001</v>
      </c>
      <c r="P228" s="798"/>
      <c r="Q228" s="1221"/>
    </row>
    <row r="229" spans="2:17" s="789" customFormat="1" ht="15.5">
      <c r="B229" s="795">
        <v>55012</v>
      </c>
      <c r="C229" s="802"/>
      <c r="D229" s="801" t="s">
        <v>1306</v>
      </c>
      <c r="E229" s="803"/>
      <c r="F229" s="803"/>
      <c r="G229" s="443">
        <v>347203.8</v>
      </c>
      <c r="H229" s="443"/>
      <c r="I229" s="443">
        <v>345630.8</v>
      </c>
      <c r="J229" s="443"/>
      <c r="K229" s="443">
        <v>364246.8</v>
      </c>
      <c r="L229" s="443"/>
      <c r="M229" s="443">
        <f t="shared" si="10"/>
        <v>-9295</v>
      </c>
      <c r="N229" s="443"/>
      <c r="O229" s="443">
        <v>354951.8</v>
      </c>
      <c r="P229" s="798"/>
      <c r="Q229" s="1221"/>
    </row>
    <row r="230" spans="2:17" s="789" customFormat="1" ht="15.5">
      <c r="B230" s="795">
        <v>55013</v>
      </c>
      <c r="C230" s="802"/>
      <c r="D230" s="801" t="s">
        <v>1307</v>
      </c>
      <c r="E230" s="803"/>
      <c r="F230" s="803"/>
      <c r="G230" s="443">
        <v>0</v>
      </c>
      <c r="H230" s="443"/>
      <c r="I230" s="443">
        <v>0</v>
      </c>
      <c r="J230" s="443"/>
      <c r="K230" s="443">
        <v>0</v>
      </c>
      <c r="L230" s="443"/>
      <c r="M230" s="443">
        <f t="shared" si="10"/>
        <v>0</v>
      </c>
      <c r="N230" s="443"/>
      <c r="O230" s="443">
        <v>0</v>
      </c>
      <c r="P230" s="798"/>
      <c r="Q230" s="1221"/>
    </row>
    <row r="231" spans="2:17" s="789" customFormat="1" ht="15.5">
      <c r="B231" s="795">
        <v>55014</v>
      </c>
      <c r="C231" s="802"/>
      <c r="D231" s="801" t="s">
        <v>1308</v>
      </c>
      <c r="E231" s="803"/>
      <c r="F231" s="803"/>
      <c r="G231" s="443">
        <v>0</v>
      </c>
      <c r="H231" s="443"/>
      <c r="I231" s="443">
        <v>0</v>
      </c>
      <c r="J231" s="443"/>
      <c r="K231" s="443">
        <v>36403.919999999998</v>
      </c>
      <c r="L231" s="443"/>
      <c r="M231" s="443">
        <f t="shared" si="10"/>
        <v>-36403.919999999998</v>
      </c>
      <c r="N231" s="443"/>
      <c r="O231" s="443">
        <v>0</v>
      </c>
      <c r="P231" s="798"/>
      <c r="Q231" s="1221"/>
    </row>
    <row r="232" spans="2:17" s="789" customFormat="1" ht="15.5">
      <c r="B232" s="795">
        <v>55015</v>
      </c>
      <c r="C232" s="802"/>
      <c r="D232" s="801" t="s">
        <v>1309</v>
      </c>
      <c r="E232" s="803"/>
      <c r="F232" s="803"/>
      <c r="G232" s="443">
        <v>0</v>
      </c>
      <c r="H232" s="443"/>
      <c r="I232" s="443">
        <v>0</v>
      </c>
      <c r="J232" s="443"/>
      <c r="K232" s="443">
        <v>0</v>
      </c>
      <c r="L232" s="443"/>
      <c r="M232" s="443">
        <f t="shared" si="10"/>
        <v>0</v>
      </c>
      <c r="N232" s="443"/>
      <c r="O232" s="443">
        <v>0</v>
      </c>
      <c r="P232" s="798"/>
      <c r="Q232" s="1221"/>
    </row>
    <row r="233" spans="2:17" s="789" customFormat="1" ht="15.5">
      <c r="B233" s="795">
        <v>55016</v>
      </c>
      <c r="C233" s="802"/>
      <c r="D233" s="796" t="s">
        <v>1310</v>
      </c>
      <c r="E233" s="803"/>
      <c r="F233" s="803"/>
      <c r="G233" s="443">
        <v>657695.72</v>
      </c>
      <c r="H233" s="443"/>
      <c r="I233" s="443">
        <v>596620.75</v>
      </c>
      <c r="J233" s="443"/>
      <c r="K233" s="443">
        <v>503278.38</v>
      </c>
      <c r="L233" s="443"/>
      <c r="M233" s="443">
        <f t="shared" si="10"/>
        <v>-184260.95</v>
      </c>
      <c r="N233" s="443"/>
      <c r="O233" s="443">
        <v>319017.43</v>
      </c>
      <c r="P233" s="798"/>
      <c r="Q233" s="1221"/>
    </row>
    <row r="234" spans="2:17" s="789" customFormat="1" ht="15.5">
      <c r="B234" s="795">
        <v>55017</v>
      </c>
      <c r="C234" s="802"/>
      <c r="D234" s="796" t="s">
        <v>1311</v>
      </c>
      <c r="E234" s="803"/>
      <c r="F234" s="803"/>
      <c r="G234" s="443">
        <v>386122.02</v>
      </c>
      <c r="H234" s="443"/>
      <c r="I234" s="443">
        <v>273065.96000000002</v>
      </c>
      <c r="J234" s="443"/>
      <c r="K234" s="443">
        <v>561307.62</v>
      </c>
      <c r="L234" s="443"/>
      <c r="M234" s="443">
        <f t="shared" si="10"/>
        <v>142548.77000000002</v>
      </c>
      <c r="N234" s="443"/>
      <c r="O234" s="443">
        <v>703856.39</v>
      </c>
      <c r="P234" s="798"/>
      <c r="Q234" s="1221"/>
    </row>
    <row r="235" spans="2:17" s="789" customFormat="1" ht="15.5">
      <c r="B235" s="795">
        <v>55018</v>
      </c>
      <c r="C235" s="802"/>
      <c r="D235" s="796" t="s">
        <v>1312</v>
      </c>
      <c r="E235" s="803"/>
      <c r="F235" s="803"/>
      <c r="G235" s="443">
        <v>0</v>
      </c>
      <c r="H235" s="443"/>
      <c r="I235" s="443">
        <v>0</v>
      </c>
      <c r="J235" s="443"/>
      <c r="K235" s="443">
        <v>0</v>
      </c>
      <c r="L235" s="443"/>
      <c r="M235" s="443">
        <f t="shared" si="10"/>
        <v>0</v>
      </c>
      <c r="N235" s="443"/>
      <c r="O235" s="443">
        <v>0</v>
      </c>
      <c r="P235" s="798"/>
      <c r="Q235" s="1221"/>
    </row>
    <row r="236" spans="2:17" s="789" customFormat="1" ht="15.5">
      <c r="B236" s="795">
        <v>55019</v>
      </c>
      <c r="C236" s="802"/>
      <c r="D236" s="796" t="s">
        <v>1313</v>
      </c>
      <c r="E236" s="803"/>
      <c r="F236" s="803"/>
      <c r="G236" s="443">
        <v>0</v>
      </c>
      <c r="H236" s="443"/>
      <c r="I236" s="443">
        <v>0</v>
      </c>
      <c r="J236" s="443"/>
      <c r="K236" s="443">
        <v>0</v>
      </c>
      <c r="L236" s="443"/>
      <c r="M236" s="443">
        <f t="shared" si="10"/>
        <v>0</v>
      </c>
      <c r="N236" s="443"/>
      <c r="O236" s="443">
        <v>0</v>
      </c>
      <c r="P236" s="798"/>
      <c r="Q236" s="1221"/>
    </row>
    <row r="237" spans="2:17" s="789" customFormat="1" ht="15.5">
      <c r="B237" s="795">
        <v>55020</v>
      </c>
      <c r="C237" s="802"/>
      <c r="D237" s="796" t="s">
        <v>1314</v>
      </c>
      <c r="E237" s="803"/>
      <c r="F237" s="803"/>
      <c r="G237" s="443">
        <v>22791726.649999999</v>
      </c>
      <c r="H237" s="443"/>
      <c r="I237" s="443">
        <v>17857598.960000001</v>
      </c>
      <c r="J237" s="443"/>
      <c r="K237" s="443">
        <v>15638998.01</v>
      </c>
      <c r="L237" s="443"/>
      <c r="M237" s="443">
        <f t="shared" si="10"/>
        <v>3532304.040000001</v>
      </c>
      <c r="N237" s="443"/>
      <c r="O237" s="443">
        <v>19171302.050000001</v>
      </c>
      <c r="P237" s="798"/>
      <c r="Q237" s="1221"/>
    </row>
    <row r="238" spans="2:17" s="789" customFormat="1" ht="15.5">
      <c r="B238" s="795">
        <v>55021</v>
      </c>
      <c r="C238" s="802"/>
      <c r="D238" s="796" t="s">
        <v>1315</v>
      </c>
      <c r="E238" s="803"/>
      <c r="F238" s="803"/>
      <c r="G238" s="443">
        <v>6998809.7999999998</v>
      </c>
      <c r="H238" s="443"/>
      <c r="I238" s="443">
        <v>7635280.9199999999</v>
      </c>
      <c r="J238" s="443"/>
      <c r="K238" s="443">
        <v>8159458.6600000001</v>
      </c>
      <c r="L238" s="443"/>
      <c r="M238" s="443">
        <f t="shared" si="10"/>
        <v>53747.080000000075</v>
      </c>
      <c r="N238" s="443"/>
      <c r="O238" s="443">
        <v>8213205.7400000002</v>
      </c>
      <c r="P238" s="798"/>
      <c r="Q238" s="1221"/>
    </row>
    <row r="239" spans="2:17" s="789" customFormat="1" ht="15.5">
      <c r="B239" s="795">
        <v>55022</v>
      </c>
      <c r="C239" s="802"/>
      <c r="D239" s="801" t="s">
        <v>1316</v>
      </c>
      <c r="E239" s="803"/>
      <c r="F239" s="803"/>
      <c r="G239" s="443">
        <v>0</v>
      </c>
      <c r="H239" s="443"/>
      <c r="I239" s="443">
        <v>0</v>
      </c>
      <c r="J239" s="443"/>
      <c r="K239" s="443">
        <v>1104859.1100000001</v>
      </c>
      <c r="L239" s="443"/>
      <c r="M239" s="443">
        <f t="shared" si="10"/>
        <v>2355670.54</v>
      </c>
      <c r="N239" s="443"/>
      <c r="O239" s="443">
        <v>3460529.65</v>
      </c>
      <c r="P239" s="798"/>
      <c r="Q239" s="1221"/>
    </row>
    <row r="240" spans="2:17" s="789" customFormat="1" ht="15.5">
      <c r="B240" s="795">
        <v>55052</v>
      </c>
      <c r="C240" s="802"/>
      <c r="D240" s="801" t="s">
        <v>1317</v>
      </c>
      <c r="E240" s="803"/>
      <c r="F240" s="803"/>
      <c r="G240" s="443">
        <v>1239161.92</v>
      </c>
      <c r="H240" s="443"/>
      <c r="I240" s="443">
        <v>1320200.18</v>
      </c>
      <c r="J240" s="443"/>
      <c r="K240" s="443">
        <v>1375473.44</v>
      </c>
      <c r="L240" s="443"/>
      <c r="M240" s="443">
        <f t="shared" si="10"/>
        <v>89229.100000000093</v>
      </c>
      <c r="N240" s="443"/>
      <c r="O240" s="443">
        <v>1464702.54</v>
      </c>
      <c r="P240" s="798"/>
      <c r="Q240" s="1221"/>
    </row>
    <row r="241" spans="2:17" s="789" customFormat="1" ht="15.5">
      <c r="B241" s="795">
        <v>55053</v>
      </c>
      <c r="C241" s="802"/>
      <c r="D241" s="796" t="s">
        <v>1318</v>
      </c>
      <c r="E241" s="803"/>
      <c r="F241" s="803"/>
      <c r="G241" s="443">
        <v>0</v>
      </c>
      <c r="H241" s="443"/>
      <c r="I241" s="443">
        <v>0</v>
      </c>
      <c r="J241" s="443"/>
      <c r="K241" s="443">
        <v>0</v>
      </c>
      <c r="L241" s="443"/>
      <c r="M241" s="443">
        <f t="shared" si="10"/>
        <v>0</v>
      </c>
      <c r="N241" s="443"/>
      <c r="O241" s="443">
        <v>0</v>
      </c>
      <c r="P241" s="798"/>
      <c r="Q241" s="1221"/>
    </row>
    <row r="242" spans="2:17" s="789" customFormat="1" ht="15.5">
      <c r="B242" s="795">
        <v>55055</v>
      </c>
      <c r="C242" s="802"/>
      <c r="D242" s="796" t="s">
        <v>1319</v>
      </c>
      <c r="E242" s="803"/>
      <c r="F242" s="803"/>
      <c r="G242" s="443">
        <v>622422.96</v>
      </c>
      <c r="H242" s="443"/>
      <c r="I242" s="443">
        <v>0</v>
      </c>
      <c r="J242" s="443"/>
      <c r="K242" s="443">
        <v>0</v>
      </c>
      <c r="L242" s="443"/>
      <c r="M242" s="443">
        <f t="shared" si="10"/>
        <v>0</v>
      </c>
      <c r="N242" s="443"/>
      <c r="O242" s="443">
        <v>0</v>
      </c>
      <c r="P242" s="798"/>
      <c r="Q242" s="1221"/>
    </row>
    <row r="243" spans="2:17" s="789" customFormat="1" ht="15.5">
      <c r="B243" s="795">
        <v>55056</v>
      </c>
      <c r="C243" s="802"/>
      <c r="D243" s="796" t="s">
        <v>1320</v>
      </c>
      <c r="E243" s="803"/>
      <c r="F243" s="803"/>
      <c r="G243" s="443">
        <v>0</v>
      </c>
      <c r="H243" s="443"/>
      <c r="I243" s="443">
        <v>0</v>
      </c>
      <c r="J243" s="443"/>
      <c r="K243" s="443">
        <v>0</v>
      </c>
      <c r="L243" s="443"/>
      <c r="M243" s="443">
        <f t="shared" si="10"/>
        <v>0</v>
      </c>
      <c r="N243" s="443"/>
      <c r="O243" s="443">
        <v>0</v>
      </c>
      <c r="P243" s="798"/>
      <c r="Q243" s="1221"/>
    </row>
    <row r="244" spans="2:17" s="789" customFormat="1" ht="15.5">
      <c r="B244" s="795">
        <v>55057</v>
      </c>
      <c r="C244" s="802"/>
      <c r="D244" s="796" t="s">
        <v>1321</v>
      </c>
      <c r="E244" s="803"/>
      <c r="F244" s="803"/>
      <c r="G244" s="443">
        <v>20252.22</v>
      </c>
      <c r="H244" s="443"/>
      <c r="I244" s="443">
        <v>21642.2</v>
      </c>
      <c r="J244" s="443"/>
      <c r="K244" s="443">
        <v>3200.66</v>
      </c>
      <c r="L244" s="443"/>
      <c r="M244" s="443">
        <f t="shared" si="10"/>
        <v>75902.26999999999</v>
      </c>
      <c r="N244" s="443"/>
      <c r="O244" s="443">
        <v>79102.929999999993</v>
      </c>
      <c r="P244" s="798"/>
      <c r="Q244" s="1221"/>
    </row>
    <row r="245" spans="2:17" s="789" customFormat="1" ht="15.5">
      <c r="B245" s="795">
        <v>55058</v>
      </c>
      <c r="C245" s="802"/>
      <c r="D245" s="796" t="s">
        <v>1322</v>
      </c>
      <c r="E245" s="803"/>
      <c r="F245" s="803"/>
      <c r="G245" s="443">
        <v>4542072.1500000004</v>
      </c>
      <c r="H245" s="443"/>
      <c r="I245" s="443">
        <v>3588865.01</v>
      </c>
      <c r="J245" s="443"/>
      <c r="K245" s="443">
        <v>3966141.41</v>
      </c>
      <c r="L245" s="443"/>
      <c r="M245" s="443">
        <f t="shared" si="10"/>
        <v>262485.00999999978</v>
      </c>
      <c r="N245" s="443"/>
      <c r="O245" s="443">
        <v>4228626.42</v>
      </c>
      <c r="P245" s="798"/>
      <c r="Q245" s="1221"/>
    </row>
    <row r="246" spans="2:17" s="789" customFormat="1" ht="15.5">
      <c r="B246" s="795">
        <v>55059</v>
      </c>
      <c r="C246" s="802"/>
      <c r="D246" s="796" t="s">
        <v>1323</v>
      </c>
      <c r="E246" s="803"/>
      <c r="F246" s="803"/>
      <c r="G246" s="443">
        <v>5258419.63</v>
      </c>
      <c r="H246" s="443"/>
      <c r="I246" s="443">
        <v>5160827.84</v>
      </c>
      <c r="J246" s="443"/>
      <c r="K246" s="443">
        <v>5013434.09</v>
      </c>
      <c r="L246" s="443"/>
      <c r="M246" s="443">
        <f t="shared" si="10"/>
        <v>-24820.399999999441</v>
      </c>
      <c r="N246" s="443"/>
      <c r="O246" s="443">
        <v>4988613.6900000004</v>
      </c>
      <c r="P246" s="798"/>
      <c r="Q246" s="1221"/>
    </row>
    <row r="247" spans="2:17" s="789" customFormat="1" ht="15.5">
      <c r="B247" s="795">
        <v>55060</v>
      </c>
      <c r="C247" s="802"/>
      <c r="D247" s="801" t="s">
        <v>1324</v>
      </c>
      <c r="E247" s="803"/>
      <c r="F247" s="803"/>
      <c r="G247" s="443">
        <v>11094222.630000001</v>
      </c>
      <c r="H247" s="443"/>
      <c r="I247" s="443">
        <v>12503515.9</v>
      </c>
      <c r="J247" s="443"/>
      <c r="K247" s="443">
        <v>13802383.460000001</v>
      </c>
      <c r="L247" s="443"/>
      <c r="M247" s="443">
        <f t="shared" si="10"/>
        <v>1996983.92</v>
      </c>
      <c r="N247" s="443"/>
      <c r="O247" s="443">
        <v>15799367.380000001</v>
      </c>
      <c r="P247" s="798"/>
      <c r="Q247" s="1221"/>
    </row>
    <row r="248" spans="2:17" s="789" customFormat="1" ht="15.5">
      <c r="B248" s="795">
        <v>55061</v>
      </c>
      <c r="C248" s="802"/>
      <c r="D248" s="801" t="s">
        <v>1325</v>
      </c>
      <c r="E248" s="803"/>
      <c r="F248" s="803"/>
      <c r="G248" s="443">
        <v>0</v>
      </c>
      <c r="H248" s="443"/>
      <c r="I248" s="443">
        <v>0</v>
      </c>
      <c r="J248" s="443"/>
      <c r="K248" s="443">
        <v>0</v>
      </c>
      <c r="L248" s="443"/>
      <c r="M248" s="443">
        <f t="shared" si="10"/>
        <v>0</v>
      </c>
      <c r="N248" s="443"/>
      <c r="O248" s="443">
        <v>0</v>
      </c>
      <c r="P248" s="798"/>
      <c r="Q248" s="1221"/>
    </row>
    <row r="249" spans="2:17" s="789" customFormat="1" ht="15.5">
      <c r="B249" s="795">
        <v>55062</v>
      </c>
      <c r="C249" s="802"/>
      <c r="D249" s="796" t="s">
        <v>1326</v>
      </c>
      <c r="E249" s="803"/>
      <c r="F249" s="803"/>
      <c r="G249" s="443">
        <v>3433524.85</v>
      </c>
      <c r="H249" s="443"/>
      <c r="I249" s="443">
        <v>3433524.85</v>
      </c>
      <c r="J249" s="443"/>
      <c r="K249" s="443">
        <v>3433524.85</v>
      </c>
      <c r="L249" s="443"/>
      <c r="M249" s="443">
        <f t="shared" si="10"/>
        <v>-3308380.2</v>
      </c>
      <c r="N249" s="443"/>
      <c r="O249" s="443">
        <v>125144.65</v>
      </c>
      <c r="P249" s="798"/>
      <c r="Q249" s="1221"/>
    </row>
    <row r="250" spans="2:17" s="789" customFormat="1" ht="15.5">
      <c r="B250" s="795">
        <v>55066</v>
      </c>
      <c r="C250" s="802"/>
      <c r="D250" s="796" t="s">
        <v>1327</v>
      </c>
      <c r="E250" s="803"/>
      <c r="F250" s="803"/>
      <c r="G250" s="443">
        <v>1261584.27</v>
      </c>
      <c r="H250" s="443"/>
      <c r="I250" s="443">
        <v>1261584.27</v>
      </c>
      <c r="J250" s="443"/>
      <c r="K250" s="443">
        <v>1261584.27</v>
      </c>
      <c r="L250" s="443"/>
      <c r="M250" s="443">
        <f t="shared" si="10"/>
        <v>0</v>
      </c>
      <c r="N250" s="443"/>
      <c r="O250" s="443">
        <v>1261584.27</v>
      </c>
      <c r="P250" s="798"/>
      <c r="Q250" s="1221"/>
    </row>
    <row r="251" spans="2:17" s="789" customFormat="1" ht="15.5">
      <c r="B251" s="795">
        <v>55067</v>
      </c>
      <c r="C251" s="802"/>
      <c r="D251" s="796" t="s">
        <v>1328</v>
      </c>
      <c r="E251" s="803"/>
      <c r="F251" s="803"/>
      <c r="G251" s="443">
        <v>707247.43</v>
      </c>
      <c r="H251" s="443"/>
      <c r="I251" s="443">
        <v>719716.72</v>
      </c>
      <c r="J251" s="443"/>
      <c r="K251" s="443">
        <v>750714.46</v>
      </c>
      <c r="L251" s="443"/>
      <c r="M251" s="443">
        <f t="shared" si="10"/>
        <v>30763.820000000065</v>
      </c>
      <c r="N251" s="443"/>
      <c r="O251" s="443">
        <v>781478.28</v>
      </c>
      <c r="P251" s="798"/>
      <c r="Q251" s="1221"/>
    </row>
    <row r="252" spans="2:17" s="789" customFormat="1" ht="15.5">
      <c r="B252" s="795">
        <v>55069</v>
      </c>
      <c r="C252" s="802"/>
      <c r="D252" s="796" t="s">
        <v>1329</v>
      </c>
      <c r="E252" s="803"/>
      <c r="F252" s="803"/>
      <c r="G252" s="443">
        <v>0</v>
      </c>
      <c r="H252" s="443"/>
      <c r="I252" s="443">
        <v>0</v>
      </c>
      <c r="J252" s="443"/>
      <c r="K252" s="443">
        <v>0</v>
      </c>
      <c r="L252" s="443"/>
      <c r="M252" s="443">
        <f t="shared" si="10"/>
        <v>0</v>
      </c>
      <c r="N252" s="443"/>
      <c r="O252" s="443">
        <v>0</v>
      </c>
      <c r="P252" s="798"/>
      <c r="Q252" s="1221"/>
    </row>
    <row r="253" spans="2:17" s="789" customFormat="1" ht="15.5">
      <c r="B253" s="812">
        <v>55071</v>
      </c>
      <c r="C253" s="802"/>
      <c r="D253" s="796" t="s">
        <v>1330</v>
      </c>
      <c r="E253" s="803"/>
      <c r="F253" s="803"/>
      <c r="G253" s="443">
        <v>1210758.33</v>
      </c>
      <c r="H253" s="443"/>
      <c r="I253" s="443">
        <v>866456.34</v>
      </c>
      <c r="J253" s="443"/>
      <c r="K253" s="443">
        <v>1043443.68</v>
      </c>
      <c r="L253" s="443"/>
      <c r="M253" s="443">
        <f t="shared" si="10"/>
        <v>181494.5199999999</v>
      </c>
      <c r="N253" s="443"/>
      <c r="O253" s="443">
        <v>1224938.2</v>
      </c>
      <c r="P253" s="798"/>
      <c r="Q253" s="1221"/>
    </row>
    <row r="254" spans="2:17" s="789" customFormat="1" ht="15.5">
      <c r="B254" s="795">
        <v>55072</v>
      </c>
      <c r="C254" s="802"/>
      <c r="D254" s="796" t="s">
        <v>1331</v>
      </c>
      <c r="E254" s="803"/>
      <c r="F254" s="803"/>
      <c r="G254" s="443">
        <v>6966076.3200000003</v>
      </c>
      <c r="H254" s="443"/>
      <c r="I254" s="443">
        <v>4584374.68</v>
      </c>
      <c r="J254" s="443"/>
      <c r="K254" s="443">
        <v>6929878.6200000001</v>
      </c>
      <c r="L254" s="443"/>
      <c r="M254" s="443">
        <f t="shared" si="10"/>
        <v>-3887568.49</v>
      </c>
      <c r="N254" s="443"/>
      <c r="O254" s="443">
        <v>3042310.13</v>
      </c>
      <c r="P254" s="798"/>
      <c r="Q254" s="1221"/>
    </row>
    <row r="255" spans="2:17" s="789" customFormat="1" ht="15.5">
      <c r="B255" s="812">
        <v>55073</v>
      </c>
      <c r="C255" s="802"/>
      <c r="D255" s="796" t="s">
        <v>1332</v>
      </c>
      <c r="E255" s="803"/>
      <c r="F255" s="803"/>
      <c r="G255" s="443">
        <v>0</v>
      </c>
      <c r="H255" s="443"/>
      <c r="I255" s="443">
        <v>0</v>
      </c>
      <c r="J255" s="443"/>
      <c r="K255" s="443">
        <v>0</v>
      </c>
      <c r="L255" s="443"/>
      <c r="M255" s="443">
        <f t="shared" si="10"/>
        <v>0</v>
      </c>
      <c r="N255" s="443"/>
      <c r="O255" s="443">
        <v>0</v>
      </c>
      <c r="P255" s="798"/>
      <c r="Q255" s="1221"/>
    </row>
    <row r="256" spans="2:17" s="789" customFormat="1" ht="15.5">
      <c r="B256" s="812">
        <v>55074</v>
      </c>
      <c r="C256" s="802"/>
      <c r="D256" s="796" t="s">
        <v>1333</v>
      </c>
      <c r="E256" s="803"/>
      <c r="F256" s="803"/>
      <c r="G256" s="443">
        <v>0</v>
      </c>
      <c r="H256" s="443"/>
      <c r="I256" s="443">
        <v>0</v>
      </c>
      <c r="J256" s="443"/>
      <c r="K256" s="443">
        <v>0</v>
      </c>
      <c r="L256" s="443"/>
      <c r="M256" s="443">
        <f t="shared" si="10"/>
        <v>0</v>
      </c>
      <c r="N256" s="443"/>
      <c r="O256" s="443">
        <v>0</v>
      </c>
      <c r="P256" s="798"/>
      <c r="Q256" s="1221"/>
    </row>
    <row r="257" spans="2:17" s="789" customFormat="1" ht="15.5">
      <c r="B257" s="795">
        <v>55251</v>
      </c>
      <c r="C257" s="802"/>
      <c r="D257" s="801" t="s">
        <v>1334</v>
      </c>
      <c r="E257" s="803"/>
      <c r="F257" s="803"/>
      <c r="G257" s="443">
        <v>9324982.3499999996</v>
      </c>
      <c r="H257" s="443"/>
      <c r="I257" s="443">
        <v>10007636.33</v>
      </c>
      <c r="J257" s="443"/>
      <c r="K257" s="443">
        <v>9312578.0299999993</v>
      </c>
      <c r="L257" s="443"/>
      <c r="M257" s="443">
        <f t="shared" si="10"/>
        <v>527113.00999999978</v>
      </c>
      <c r="N257" s="443"/>
      <c r="O257" s="443">
        <v>9839691.0399999991</v>
      </c>
      <c r="P257" s="798"/>
      <c r="Q257" s="1221"/>
    </row>
    <row r="258" spans="2:17" s="789" customFormat="1" ht="15.5">
      <c r="B258" s="795">
        <v>55252</v>
      </c>
      <c r="C258" s="802"/>
      <c r="D258" s="796" t="s">
        <v>1335</v>
      </c>
      <c r="E258" s="803"/>
      <c r="F258" s="803"/>
      <c r="G258" s="443">
        <v>50028679.439999998</v>
      </c>
      <c r="H258" s="443"/>
      <c r="I258" s="443">
        <v>52206734.090000004</v>
      </c>
      <c r="J258" s="443"/>
      <c r="K258" s="443">
        <v>55412797.039999999</v>
      </c>
      <c r="L258" s="443"/>
      <c r="M258" s="443">
        <f t="shared" si="10"/>
        <v>1721491.6600000039</v>
      </c>
      <c r="N258" s="443"/>
      <c r="O258" s="443">
        <v>57134288.700000003</v>
      </c>
      <c r="P258" s="798"/>
      <c r="Q258" s="1221"/>
    </row>
    <row r="259" spans="2:17" s="789" customFormat="1" ht="15.5">
      <c r="B259" s="795">
        <v>55300</v>
      </c>
      <c r="C259" s="802"/>
      <c r="D259" s="801" t="s">
        <v>1336</v>
      </c>
      <c r="E259" s="803"/>
      <c r="F259" s="803"/>
      <c r="G259" s="443">
        <v>0</v>
      </c>
      <c r="H259" s="443"/>
      <c r="I259" s="443">
        <v>0</v>
      </c>
      <c r="J259" s="443"/>
      <c r="K259" s="443">
        <v>0</v>
      </c>
      <c r="L259" s="443"/>
      <c r="M259" s="443">
        <f t="shared" si="10"/>
        <v>0</v>
      </c>
      <c r="N259" s="443"/>
      <c r="O259" s="443">
        <v>0</v>
      </c>
      <c r="P259" s="798"/>
      <c r="Q259" s="1221"/>
    </row>
    <row r="260" spans="2:17" s="789" customFormat="1" ht="15.5">
      <c r="B260" s="795">
        <v>55301</v>
      </c>
      <c r="C260" s="802"/>
      <c r="D260" s="801" t="s">
        <v>1337</v>
      </c>
      <c r="E260" s="803"/>
      <c r="F260" s="803"/>
      <c r="G260" s="443">
        <v>614357.77</v>
      </c>
      <c r="H260" s="443"/>
      <c r="I260" s="443">
        <v>797437.16</v>
      </c>
      <c r="J260" s="443"/>
      <c r="K260" s="443">
        <v>938625.78</v>
      </c>
      <c r="L260" s="443"/>
      <c r="M260" s="443">
        <f t="shared" si="10"/>
        <v>142660.07000000007</v>
      </c>
      <c r="N260" s="443"/>
      <c r="O260" s="443">
        <v>1081285.8500000001</v>
      </c>
      <c r="P260" s="798"/>
      <c r="Q260" s="1221"/>
    </row>
    <row r="261" spans="2:17" s="789" customFormat="1" ht="15.5">
      <c r="B261" s="795">
        <v>55350</v>
      </c>
      <c r="C261" s="794"/>
      <c r="D261" s="801" t="s">
        <v>1338</v>
      </c>
      <c r="E261" s="794"/>
      <c r="F261" s="794"/>
      <c r="G261" s="443">
        <v>0</v>
      </c>
      <c r="H261" s="443"/>
      <c r="I261" s="443">
        <v>0</v>
      </c>
      <c r="J261" s="443"/>
      <c r="K261" s="443">
        <v>0</v>
      </c>
      <c r="L261" s="443"/>
      <c r="M261" s="443">
        <f t="shared" si="10"/>
        <v>0</v>
      </c>
      <c r="N261" s="443"/>
      <c r="O261" s="443">
        <v>0</v>
      </c>
      <c r="P261" s="798"/>
      <c r="Q261" s="1221"/>
    </row>
    <row r="262" spans="2:17" s="789" customFormat="1" ht="16" thickBot="1">
      <c r="B262" s="820"/>
      <c r="C262" s="791"/>
      <c r="D262" s="792" t="s">
        <v>1339</v>
      </c>
      <c r="E262" s="793"/>
      <c r="F262" s="793"/>
      <c r="G262" s="1743">
        <f>SUM(G218:G261)</f>
        <v>138506516.25</v>
      </c>
      <c r="H262" s="1744"/>
      <c r="I262" s="1743">
        <f>SUM(I218:I261)</f>
        <v>139899066.55999997</v>
      </c>
      <c r="J262" s="1744"/>
      <c r="K262" s="1743">
        <f>SUM(K218:K261)</f>
        <v>150737538.44999999</v>
      </c>
      <c r="L262" s="1744"/>
      <c r="M262" s="1743">
        <f>SUM(M218:M261)</f>
        <v>13220864.140000004</v>
      </c>
      <c r="N262" s="1744"/>
      <c r="O262" s="1743">
        <f>SUM(O218:O261)</f>
        <v>163958402.59</v>
      </c>
      <c r="P262" s="798"/>
      <c r="Q262" s="1221"/>
    </row>
    <row r="263" spans="2:17" s="789" customFormat="1" ht="16" thickTop="1">
      <c r="B263" s="806"/>
      <c r="C263" s="794"/>
      <c r="D263" s="821"/>
      <c r="E263" s="794"/>
      <c r="F263" s="794"/>
      <c r="G263" s="443"/>
      <c r="H263" s="1746"/>
      <c r="I263" s="443"/>
      <c r="J263" s="1746"/>
      <c r="K263" s="443"/>
      <c r="L263" s="1746"/>
      <c r="M263" s="443"/>
      <c r="N263" s="1746"/>
      <c r="O263" s="443"/>
      <c r="P263" s="798"/>
      <c r="Q263" s="1221"/>
    </row>
    <row r="264" spans="2:17" s="789" customFormat="1" ht="16" thickBot="1">
      <c r="B264" s="806"/>
      <c r="C264" s="794"/>
      <c r="D264" s="821"/>
      <c r="E264" s="794"/>
      <c r="F264" s="794"/>
      <c r="G264" s="443"/>
      <c r="H264" s="1746"/>
      <c r="I264" s="443"/>
      <c r="J264" s="1746"/>
      <c r="K264" s="443"/>
      <c r="L264" s="1746"/>
      <c r="M264" s="443"/>
      <c r="N264" s="1746"/>
      <c r="O264" s="443"/>
      <c r="P264" s="798"/>
      <c r="Q264" s="1221"/>
    </row>
    <row r="265" spans="2:17" s="789" customFormat="1" ht="16" thickBot="1">
      <c r="B265" s="820"/>
      <c r="C265" s="822"/>
      <c r="D265" s="823" t="s">
        <v>1340</v>
      </c>
      <c r="E265" s="793"/>
      <c r="F265" s="797"/>
      <c r="G265" s="1752">
        <f>G262+G215+G209+G204+G192+G103+G11</f>
        <v>6784510869.5</v>
      </c>
      <c r="H265" s="797"/>
      <c r="I265" s="1752">
        <f>I262+I215+I209+I204+I192+I103+I11</f>
        <v>6151922524.46</v>
      </c>
      <c r="J265" s="797"/>
      <c r="K265" s="1752">
        <f>K262+K215+K209+K204+K192+K103+K11</f>
        <v>7516613899.1700001</v>
      </c>
      <c r="L265" s="797"/>
      <c r="M265" s="1752">
        <f>M262+M215+M209+M204+M192+M103+M11</f>
        <v>-1190500726.4199998</v>
      </c>
      <c r="N265" s="797"/>
      <c r="O265" s="1752">
        <f>O262+O215+O209+O204+O192+O103+O11</f>
        <v>6326113172.75</v>
      </c>
      <c r="P265" s="798"/>
      <c r="Q265" s="1221"/>
    </row>
    <row r="266" spans="2:17" s="789" customFormat="1" ht="15.5">
      <c r="B266" s="806"/>
      <c r="C266" s="794"/>
      <c r="D266" s="821"/>
      <c r="E266" s="794"/>
      <c r="F266" s="794"/>
      <c r="G266"/>
      <c r="H266" s="1744"/>
      <c r="I266" s="1747"/>
      <c r="J266" s="1744"/>
      <c r="K266" s="1747"/>
      <c r="L266" s="1744"/>
      <c r="M266" s="444"/>
      <c r="N266" s="794"/>
      <c r="O266" s="444"/>
      <c r="P266" s="798"/>
    </row>
    <row r="267" spans="2:17" s="789" customFormat="1" ht="15.5">
      <c r="B267" s="942" t="s">
        <v>1341</v>
      </c>
      <c r="C267" s="697" t="s">
        <v>1479</v>
      </c>
      <c r="D267" s="824"/>
      <c r="E267" s="354"/>
      <c r="F267" s="354"/>
      <c r="G267" s="1747"/>
      <c r="H267" s="825"/>
      <c r="I267" s="1206"/>
      <c r="J267" s="276"/>
      <c r="K267" s="1206"/>
      <c r="L267" s="276"/>
      <c r="M267" s="1206"/>
      <c r="N267" s="276"/>
      <c r="O267" s="1206"/>
      <c r="P267" s="798"/>
    </row>
    <row r="268" spans="2:17" s="789" customFormat="1" ht="15.5">
      <c r="B268" s="826"/>
      <c r="C268" s="354" t="s">
        <v>1342</v>
      </c>
      <c r="D268" s="827"/>
      <c r="E268" s="354"/>
      <c r="F268" s="354"/>
      <c r="G268" s="1206"/>
      <c r="H268" s="825"/>
      <c r="I268" s="1206"/>
      <c r="J268" s="276"/>
      <c r="K268" s="1206"/>
      <c r="L268" s="276"/>
      <c r="M268" s="1206"/>
      <c r="N268" s="276"/>
      <c r="O268" s="1206"/>
      <c r="P268" s="798"/>
    </row>
    <row r="269" spans="2:17" s="789" customFormat="1" ht="15.5">
      <c r="B269" s="826"/>
      <c r="C269" s="354" t="s">
        <v>1343</v>
      </c>
      <c r="D269" s="824"/>
      <c r="E269" s="354"/>
      <c r="F269" s="354"/>
      <c r="G269" s="1206"/>
      <c r="H269" s="825"/>
      <c r="I269" s="1207"/>
      <c r="J269" s="356"/>
      <c r="K269" s="1207"/>
      <c r="L269" s="356"/>
      <c r="M269" s="1207"/>
      <c r="N269" s="356"/>
      <c r="O269" s="1207"/>
      <c r="P269" s="798"/>
    </row>
    <row r="270" spans="2:17" s="789" customFormat="1" ht="15.5">
      <c r="B270" s="826"/>
      <c r="C270" s="354" t="s">
        <v>1344</v>
      </c>
      <c r="D270" s="824"/>
      <c r="E270" s="354"/>
      <c r="F270" s="354"/>
      <c r="G270" s="1207"/>
      <c r="H270" s="825"/>
      <c r="I270" s="1207"/>
      <c r="J270" s="356"/>
      <c r="K270" s="1207"/>
      <c r="L270" s="356"/>
      <c r="M270" s="1207"/>
      <c r="N270" s="356"/>
      <c r="O270" s="1207"/>
      <c r="P270" s="798"/>
    </row>
    <row r="271" spans="2:17" s="789" customFormat="1" ht="15.5">
      <c r="B271" s="826"/>
      <c r="C271" s="354" t="s">
        <v>1345</v>
      </c>
      <c r="D271" s="824"/>
      <c r="E271" s="354"/>
      <c r="F271" s="354"/>
      <c r="G271" s="1207"/>
      <c r="H271" s="825"/>
      <c r="I271" s="1208"/>
      <c r="J271" s="828"/>
      <c r="K271" s="1208"/>
      <c r="L271" s="828"/>
      <c r="M271" s="1208"/>
      <c r="N271" s="828"/>
      <c r="O271" s="1208"/>
      <c r="P271" s="798"/>
    </row>
    <row r="272" spans="2:17" s="789" customFormat="1" ht="15.5">
      <c r="B272" s="697"/>
      <c r="C272" s="354" t="s">
        <v>1346</v>
      </c>
      <c r="D272" s="824"/>
      <c r="E272" s="354"/>
      <c r="F272" s="354"/>
      <c r="G272" s="1208"/>
      <c r="H272" s="825"/>
      <c r="I272" s="1208"/>
      <c r="J272" s="828"/>
      <c r="K272" s="1208"/>
      <c r="L272" s="828"/>
      <c r="M272" s="1208"/>
      <c r="N272" s="828"/>
      <c r="O272" s="1208"/>
      <c r="P272" s="798"/>
    </row>
    <row r="273" spans="2:31" s="789" customFormat="1" ht="15.5">
      <c r="B273" s="697"/>
      <c r="C273" s="825" t="s">
        <v>1347</v>
      </c>
      <c r="D273" s="827"/>
      <c r="E273" s="825"/>
      <c r="F273" s="825"/>
      <c r="G273" s="1208"/>
      <c r="H273" s="825"/>
      <c r="I273" s="1208"/>
      <c r="J273" s="828"/>
      <c r="K273" s="1208"/>
      <c r="L273" s="828"/>
      <c r="M273" s="1208"/>
      <c r="N273" s="828"/>
      <c r="O273" s="1208"/>
      <c r="P273" s="798"/>
    </row>
    <row r="274" spans="2:31" s="789" customFormat="1" ht="15.5">
      <c r="B274" s="829" t="s">
        <v>273</v>
      </c>
      <c r="C274" s="354" t="s">
        <v>1470</v>
      </c>
      <c r="D274" s="824"/>
      <c r="E274" s="825"/>
      <c r="F274" s="825"/>
      <c r="G274" s="1208"/>
      <c r="H274" s="825"/>
      <c r="I274" s="830"/>
      <c r="J274" s="831"/>
      <c r="K274" s="830"/>
      <c r="L274" s="830"/>
      <c r="M274" s="356"/>
      <c r="N274" s="356"/>
      <c r="O274" s="830"/>
      <c r="P274" s="794"/>
    </row>
    <row r="275" spans="2:31" s="789" customFormat="1" ht="15.5">
      <c r="B275" s="832"/>
      <c r="C275" s="830" t="s">
        <v>1348</v>
      </c>
      <c r="D275" s="276"/>
      <c r="E275" s="825"/>
      <c r="F275" s="825"/>
      <c r="G275" s="830"/>
      <c r="H275" s="825"/>
      <c r="I275" s="830"/>
      <c r="J275" s="831"/>
      <c r="K275" s="830"/>
      <c r="L275" s="830"/>
      <c r="M275" s="356"/>
      <c r="N275" s="356"/>
      <c r="O275" s="830"/>
      <c r="P275" s="356"/>
    </row>
    <row r="276" spans="2:31" s="789" customFormat="1" ht="15.5">
      <c r="B276" s="833" t="s">
        <v>261</v>
      </c>
      <c r="C276" s="697" t="s">
        <v>1349</v>
      </c>
      <c r="D276" s="276"/>
      <c r="E276" s="276"/>
      <c r="F276" s="276"/>
      <c r="G276" s="830"/>
      <c r="H276" s="1209"/>
      <c r="I276" s="354"/>
      <c r="J276" s="355"/>
      <c r="K276" s="354"/>
      <c r="L276" s="1209"/>
      <c r="M276" s="1736"/>
      <c r="N276" s="356"/>
      <c r="O276" s="354"/>
      <c r="P276" s="1220"/>
    </row>
    <row r="277" spans="2:31" s="789" customFormat="1" ht="15.5">
      <c r="B277" s="354"/>
      <c r="C277" s="354"/>
      <c r="D277" s="356"/>
      <c r="E277" s="354"/>
      <c r="F277" s="354"/>
      <c r="G277" s="835"/>
      <c r="H277" s="835"/>
      <c r="I277" s="835"/>
      <c r="J277" s="835"/>
      <c r="K277" s="835"/>
      <c r="L277" s="835"/>
      <c r="M277" s="356"/>
      <c r="N277" s="356"/>
      <c r="O277" s="356"/>
      <c r="P277" s="825"/>
    </row>
    <row r="278" spans="2:31" s="789" customFormat="1" ht="15.5">
      <c r="B278" s="354"/>
      <c r="C278" s="354"/>
      <c r="D278" s="356"/>
      <c r="E278" s="354"/>
      <c r="F278" s="354"/>
      <c r="G278" s="835"/>
      <c r="H278" s="835"/>
      <c r="I278" s="835"/>
      <c r="J278" s="835"/>
      <c r="K278" s="835"/>
      <c r="L278" s="835"/>
      <c r="M278" s="356"/>
      <c r="N278" s="356"/>
      <c r="O278" s="356"/>
      <c r="P278" s="825"/>
    </row>
    <row r="279" spans="2:31" s="789" customFormat="1" ht="15.5">
      <c r="B279" s="829"/>
      <c r="C279" s="825"/>
      <c r="D279" s="356"/>
      <c r="E279" s="354"/>
      <c r="F279" s="354"/>
      <c r="G279" s="835"/>
      <c r="H279" s="825"/>
      <c r="I279" s="825"/>
      <c r="J279" s="825"/>
      <c r="K279" s="825"/>
      <c r="L279" s="356"/>
      <c r="M279" s="356"/>
      <c r="N279" s="356"/>
      <c r="O279" s="356"/>
      <c r="P279" s="834"/>
    </row>
    <row r="280" spans="2:31" s="789" customFormat="1" ht="15.5">
      <c r="B280" s="836"/>
      <c r="C280" s="825"/>
      <c r="D280" s="356"/>
      <c r="E280" s="354"/>
      <c r="F280" s="354"/>
      <c r="G280" s="825"/>
      <c r="H280" s="825"/>
      <c r="I280" s="825"/>
      <c r="J280" s="825"/>
      <c r="K280" s="825"/>
      <c r="L280" s="356"/>
      <c r="M280" s="356"/>
      <c r="N280" s="356"/>
      <c r="O280" s="356"/>
      <c r="P280" s="834"/>
    </row>
    <row r="281" spans="2:31" s="789" customFormat="1" ht="15.5">
      <c r="B281" s="836"/>
      <c r="C281" s="825"/>
      <c r="D281" s="356"/>
      <c r="E281" s="354"/>
      <c r="F281" s="354"/>
      <c r="G281" s="825"/>
      <c r="H281" s="825"/>
      <c r="I281" s="825"/>
      <c r="J281" s="825"/>
      <c r="K281" s="825"/>
      <c r="L281" s="356"/>
      <c r="M281" s="276"/>
      <c r="N281" s="276"/>
      <c r="O281" s="276"/>
      <c r="P281" s="834"/>
    </row>
    <row r="282" spans="2:31" s="789" customFormat="1" ht="15.5">
      <c r="B282" s="834"/>
      <c r="C282" s="825"/>
      <c r="D282" s="356"/>
      <c r="E282"/>
      <c r="F282" s="825"/>
      <c r="G282" s="825"/>
      <c r="H282" s="825"/>
      <c r="I282" s="825"/>
      <c r="J282" s="825"/>
      <c r="K282" s="825"/>
      <c r="L282" s="276"/>
      <c r="M282" s="276"/>
      <c r="N282" s="276"/>
      <c r="O282" s="276"/>
      <c r="P282" s="834"/>
    </row>
    <row r="283" spans="2:31" s="789" customFormat="1" ht="15.5">
      <c r="B283" s="834"/>
      <c r="C283" s="825"/>
      <c r="D283" s="356"/>
      <c r="E283"/>
      <c r="F283" s="825"/>
      <c r="G283" s="825"/>
      <c r="H283" s="825"/>
      <c r="I283" s="825"/>
      <c r="J283" s="825"/>
      <c r="K283" s="825"/>
      <c r="L283" s="276"/>
      <c r="M283" s="1222"/>
      <c r="N283" s="1222"/>
      <c r="O283" s="1222"/>
      <c r="P283" s="834"/>
    </row>
    <row r="284" spans="2:31" ht="15.5">
      <c r="B284" s="834"/>
      <c r="C284" s="825"/>
      <c r="D284" s="356"/>
      <c r="E284"/>
      <c r="F284" s="825"/>
      <c r="G284" s="825"/>
      <c r="H284" s="825"/>
      <c r="I284" s="825"/>
      <c r="J284" s="825"/>
      <c r="K284" s="825"/>
      <c r="L284" s="276"/>
      <c r="M284" s="276"/>
      <c r="N284" s="276"/>
      <c r="O284" s="276"/>
      <c r="P284" s="834"/>
      <c r="Q284" s="1121"/>
      <c r="R284" s="1121"/>
      <c r="S284" s="1121"/>
      <c r="T284" s="1121"/>
      <c r="U284" s="1121"/>
      <c r="V284" s="1121"/>
      <c r="W284" s="1121"/>
      <c r="X284" s="1121"/>
      <c r="Y284" s="1121"/>
      <c r="Z284" s="1121"/>
      <c r="AA284" s="1121"/>
      <c r="AB284" s="1121"/>
      <c r="AC284" s="1121"/>
      <c r="AD284" s="1121"/>
      <c r="AE284" s="1121"/>
    </row>
    <row r="285" spans="2:31" ht="15.5">
      <c r="B285" s="1121"/>
      <c r="C285" s="1121"/>
      <c r="D285" s="1121"/>
      <c r="E285" s="1121"/>
      <c r="G285" s="825"/>
      <c r="H285" s="1121"/>
      <c r="I285" s="1121"/>
      <c r="J285" s="1121"/>
      <c r="K285" s="1121"/>
      <c r="L285" s="1121"/>
      <c r="M285" s="1121"/>
      <c r="N285" s="1121"/>
      <c r="O285" s="1121"/>
      <c r="P285" s="1121"/>
      <c r="Q285" s="1121"/>
      <c r="R285" s="1121"/>
      <c r="S285" s="1121"/>
      <c r="T285" s="1121"/>
      <c r="U285" s="1121"/>
      <c r="V285" s="1121"/>
      <c r="W285" s="1121"/>
      <c r="X285" s="1121"/>
      <c r="Y285" s="1121"/>
      <c r="Z285" s="1121"/>
      <c r="AA285" s="1121"/>
      <c r="AB285" s="1121"/>
      <c r="AC285" s="1121"/>
      <c r="AD285" s="1121"/>
      <c r="AE285" s="1121"/>
    </row>
    <row r="290" spans="2:31" ht="15.5">
      <c r="B290" s="1121"/>
      <c r="C290" s="444"/>
      <c r="D290" s="444"/>
      <c r="E290" s="444"/>
      <c r="F290" s="778"/>
      <c r="G290" s="1121"/>
      <c r="H290" s="838"/>
      <c r="I290" s="838"/>
      <c r="J290" s="838"/>
      <c r="K290" s="838"/>
      <c r="L290" s="838"/>
      <c r="M290" s="1121"/>
      <c r="N290" s="1121"/>
      <c r="O290" s="1121"/>
      <c r="P290" s="1121"/>
      <c r="Q290" s="1121"/>
      <c r="R290" s="1121"/>
      <c r="S290" s="1121"/>
      <c r="T290" s="1121"/>
      <c r="U290" s="1121"/>
      <c r="V290" s="1121"/>
      <c r="W290" s="1121"/>
      <c r="X290" s="1121"/>
      <c r="Y290" s="1121"/>
      <c r="Z290" s="1121"/>
      <c r="AA290" s="1121"/>
      <c r="AB290" s="1121"/>
      <c r="AC290" s="1121"/>
      <c r="AD290" s="1121"/>
      <c r="AE290" s="1121"/>
    </row>
    <row r="291" spans="2:31" ht="15.5">
      <c r="B291" s="1121"/>
      <c r="C291" s="444"/>
      <c r="D291" s="444"/>
      <c r="E291" s="444"/>
      <c r="F291" s="778"/>
      <c r="G291" s="838"/>
      <c r="H291" s="838"/>
      <c r="I291" s="838"/>
      <c r="J291" s="838"/>
      <c r="K291" s="838"/>
      <c r="L291" s="838"/>
      <c r="M291" s="1121"/>
      <c r="N291" s="1121"/>
      <c r="O291" s="1121"/>
      <c r="P291" s="1121"/>
      <c r="Q291" s="1121"/>
      <c r="R291" s="1121"/>
      <c r="S291" s="1121"/>
      <c r="T291" s="1121"/>
      <c r="U291" s="1121"/>
      <c r="V291" s="1121"/>
      <c r="W291" s="1121"/>
      <c r="X291" s="1121"/>
      <c r="Y291" s="1121"/>
      <c r="Z291" s="1121"/>
      <c r="AA291" s="1121"/>
      <c r="AB291" s="1121"/>
      <c r="AC291" s="1121"/>
      <c r="AD291" s="1121"/>
      <c r="AE291" s="1121"/>
    </row>
    <row r="292" spans="2:31" ht="15.5">
      <c r="B292" s="1121"/>
      <c r="C292" s="444"/>
      <c r="D292" s="444"/>
      <c r="E292" s="444"/>
      <c r="F292" s="778"/>
      <c r="G292" s="838"/>
      <c r="H292" s="838"/>
      <c r="I292" s="838"/>
      <c r="J292" s="838"/>
      <c r="K292" s="838"/>
      <c r="L292" s="838"/>
      <c r="M292" s="1121"/>
      <c r="N292" s="1121"/>
      <c r="O292" s="1121"/>
      <c r="P292" s="1121"/>
      <c r="Q292" s="1121"/>
      <c r="R292" s="1121"/>
      <c r="S292" s="1121"/>
      <c r="T292" s="1121"/>
      <c r="U292" s="1121"/>
      <c r="V292" s="1121"/>
      <c r="W292" s="1121"/>
      <c r="X292" s="1121"/>
      <c r="Y292" s="1121"/>
      <c r="Z292" s="1121"/>
      <c r="AA292" s="1121"/>
      <c r="AB292" s="1121"/>
      <c r="AC292" s="1121"/>
      <c r="AD292" s="1121"/>
      <c r="AE292" s="1121"/>
    </row>
    <row r="293" spans="2:31" ht="15.5">
      <c r="B293" s="1121"/>
      <c r="C293" s="444"/>
      <c r="D293" s="444"/>
      <c r="E293" s="444"/>
      <c r="F293" s="778"/>
      <c r="G293" s="838"/>
      <c r="H293" s="838"/>
      <c r="I293" s="838"/>
      <c r="J293" s="838"/>
      <c r="K293" s="838"/>
      <c r="L293" s="838"/>
      <c r="M293" s="1121"/>
      <c r="N293" s="1121"/>
      <c r="O293" s="1121"/>
      <c r="P293" s="1121"/>
      <c r="Q293" s="1121"/>
      <c r="R293" s="1121"/>
      <c r="S293" s="1121"/>
      <c r="T293" s="1121"/>
      <c r="U293" s="1121"/>
      <c r="V293" s="1121"/>
      <c r="W293" s="1121"/>
      <c r="X293" s="1121"/>
      <c r="Y293" s="1121"/>
      <c r="Z293" s="1121"/>
      <c r="AA293" s="1121"/>
      <c r="AB293" s="1121"/>
      <c r="AC293" s="1121"/>
      <c r="AD293" s="1121"/>
      <c r="AE293" s="1121"/>
    </row>
    <row r="294" spans="2:31" ht="15.5">
      <c r="B294" s="1121"/>
      <c r="C294" s="444"/>
      <c r="D294" s="444"/>
      <c r="E294" s="444"/>
      <c r="F294" s="778"/>
      <c r="G294" s="838"/>
      <c r="H294" s="838"/>
      <c r="I294" s="838"/>
      <c r="J294" s="838"/>
      <c r="K294" s="838"/>
      <c r="L294" s="838"/>
      <c r="M294" s="1121"/>
      <c r="N294" s="1121"/>
      <c r="O294" s="1121"/>
      <c r="P294" s="1121"/>
      <c r="Q294" s="1121"/>
      <c r="R294" s="1121"/>
      <c r="S294" s="1121"/>
      <c r="T294" s="1121"/>
      <c r="U294" s="1121"/>
      <c r="V294" s="1121"/>
      <c r="W294" s="1121"/>
      <c r="X294" s="1121"/>
      <c r="Y294" s="1121"/>
      <c r="Z294" s="1121"/>
      <c r="AA294" s="1121"/>
      <c r="AB294" s="1121"/>
      <c r="AC294" s="1121"/>
      <c r="AD294" s="1121"/>
      <c r="AE294" s="1121"/>
    </row>
    <row r="295" spans="2:31">
      <c r="B295" s="1121"/>
      <c r="C295" s="1121"/>
      <c r="D295" s="1121"/>
      <c r="E295" s="1121"/>
      <c r="G295" s="838"/>
      <c r="H295" s="1121"/>
      <c r="I295" s="1121"/>
      <c r="J295" s="1121"/>
      <c r="K295" s="1121"/>
      <c r="L295" s="1121"/>
      <c r="M295" s="1121"/>
      <c r="N295" s="1121"/>
      <c r="O295" s="1121"/>
      <c r="P295" s="1121"/>
      <c r="Q295" s="1121"/>
      <c r="R295" s="1121"/>
      <c r="S295" s="1121"/>
      <c r="T295" s="1121"/>
      <c r="U295" s="1121"/>
      <c r="V295" s="1121"/>
      <c r="W295" s="1121"/>
      <c r="X295" s="1121"/>
      <c r="Y295" s="1121"/>
      <c r="Z295" s="1121"/>
      <c r="AA295" s="1121"/>
      <c r="AB295" s="1121"/>
      <c r="AC295" s="1121"/>
      <c r="AD295" s="1121"/>
      <c r="AE295" s="1121"/>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9 N209 L215 N215 L262 N262 L265 N265 L12:N13 L104:N105 L193:N194 L205:N206 L210:N211 L216:N217 L263:N26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90" workbookViewId="0"/>
  </sheetViews>
  <sheetFormatPr defaultColWidth="8.69140625" defaultRowHeight="12.5"/>
  <cols>
    <col min="1" max="1" width="54.69140625" style="172" customWidth="1"/>
    <col min="2" max="2" width="15" style="575" bestFit="1" customWidth="1"/>
    <col min="3" max="3" width="1.69140625" style="575" customWidth="1"/>
    <col min="4" max="4" width="15" style="575" bestFit="1" customWidth="1"/>
    <col min="5" max="5" width="1.69140625" style="574" customWidth="1"/>
    <col min="6" max="6" width="13.69140625" style="575" customWidth="1"/>
    <col min="7" max="7" width="1.69140625" style="574" customWidth="1"/>
    <col min="8" max="8" width="13.69140625" style="575" customWidth="1"/>
    <col min="9" max="9" width="1.69140625" style="574" customWidth="1"/>
    <col min="10" max="10" width="13.69140625" style="575" customWidth="1"/>
    <col min="11" max="11" width="1.69140625" style="575" customWidth="1"/>
    <col min="12" max="12" width="13.69140625" style="575" customWidth="1"/>
    <col min="13" max="13" width="1.69140625" style="574" customWidth="1"/>
    <col min="14" max="14" width="13.69140625" style="575" customWidth="1"/>
    <col min="15" max="15" width="1.69140625" style="574" customWidth="1"/>
    <col min="16" max="16" width="13.69140625" style="575" customWidth="1"/>
    <col min="17" max="17" width="1.69140625" style="574" customWidth="1"/>
    <col min="18" max="18" width="13.69140625" style="575" customWidth="1"/>
    <col min="19" max="19" width="1.69140625" style="574" customWidth="1"/>
    <col min="20" max="20" width="13.69140625" style="575" customWidth="1"/>
    <col min="21" max="21" width="1.69140625" style="574" customWidth="1"/>
    <col min="22" max="22" width="13.69140625" style="575" customWidth="1"/>
    <col min="23" max="23" width="1.69140625" style="574" customWidth="1"/>
    <col min="24" max="24" width="13.69140625" style="575" customWidth="1"/>
    <col min="25" max="25" width="1.69140625" style="574" customWidth="1"/>
    <col min="26" max="26" width="18.69140625" style="119" customWidth="1"/>
    <col min="27" max="27" width="1.53515625" style="172" customWidth="1"/>
    <col min="28" max="28" width="18.69140625" style="172" bestFit="1" customWidth="1"/>
    <col min="29" max="29" width="12.69140625" style="172" bestFit="1" customWidth="1"/>
    <col min="30" max="16384" width="8.69140625" style="172"/>
  </cols>
  <sheetData>
    <row r="1" spans="1:33" ht="15.5">
      <c r="A1" s="397" t="s">
        <v>97</v>
      </c>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row>
    <row r="2" spans="1:33" ht="15.5">
      <c r="A2" s="397"/>
      <c r="B2" s="489"/>
      <c r="C2" s="489"/>
      <c r="D2" s="489"/>
      <c r="E2" s="489"/>
      <c r="F2" s="489"/>
      <c r="G2" s="489"/>
      <c r="H2" s="489"/>
      <c r="I2" s="489"/>
      <c r="J2" s="489"/>
      <c r="K2" s="489"/>
      <c r="L2" s="489"/>
      <c r="M2" s="489"/>
      <c r="N2" s="489"/>
      <c r="O2" s="489"/>
      <c r="P2" s="489"/>
      <c r="Q2" s="489"/>
      <c r="R2" s="489"/>
      <c r="S2" s="489"/>
      <c r="T2" s="489"/>
      <c r="U2" s="489"/>
      <c r="V2" s="489"/>
      <c r="W2" s="489"/>
      <c r="X2" s="489"/>
      <c r="Y2" s="489"/>
      <c r="Z2" s="489"/>
      <c r="AA2" s="489"/>
      <c r="AB2" s="489"/>
      <c r="AC2" s="489"/>
      <c r="AD2" s="489"/>
      <c r="AE2" s="489"/>
      <c r="AF2" s="489"/>
      <c r="AG2" s="489"/>
    </row>
    <row r="3" spans="1:33" ht="24" customHeight="1">
      <c r="A3" s="357" t="s">
        <v>98</v>
      </c>
      <c r="B3" s="169"/>
      <c r="C3" s="169"/>
      <c r="D3" s="170"/>
      <c r="E3" s="171"/>
      <c r="F3" s="170"/>
      <c r="G3" s="171"/>
      <c r="H3" s="170"/>
      <c r="I3" s="171"/>
      <c r="K3" s="169"/>
      <c r="L3" s="118"/>
      <c r="M3" s="169"/>
      <c r="N3" s="170"/>
      <c r="O3" s="171"/>
      <c r="P3" s="170"/>
      <c r="Q3" s="171"/>
      <c r="R3" s="170"/>
      <c r="S3" s="171"/>
      <c r="T3" s="170"/>
      <c r="U3" s="171"/>
      <c r="V3" s="170"/>
      <c r="W3" s="171"/>
      <c r="X3" s="170"/>
      <c r="Y3" s="171"/>
      <c r="Z3" s="353" t="s">
        <v>1350</v>
      </c>
      <c r="AA3" s="169"/>
      <c r="AC3" s="169"/>
      <c r="AE3" s="169"/>
    </row>
    <row r="4" spans="1:33" ht="16.5">
      <c r="A4" s="357" t="s">
        <v>1351</v>
      </c>
      <c r="B4" s="490"/>
      <c r="C4" s="490"/>
      <c r="D4" s="173"/>
      <c r="E4" s="171"/>
      <c r="F4" s="490"/>
      <c r="G4" s="171"/>
      <c r="H4" s="490"/>
      <c r="I4" s="171"/>
      <c r="J4" s="490"/>
      <c r="K4" s="490"/>
      <c r="L4" s="490"/>
      <c r="M4" s="174"/>
      <c r="N4" s="490"/>
      <c r="O4" s="171"/>
      <c r="P4" s="490"/>
      <c r="Q4" s="171"/>
      <c r="R4" s="490"/>
      <c r="S4" s="171"/>
      <c r="T4" s="490"/>
      <c r="U4" s="171"/>
      <c r="V4" s="490"/>
      <c r="W4" s="171"/>
      <c r="X4" s="490"/>
      <c r="Y4" s="171"/>
      <c r="Z4" s="491"/>
      <c r="AA4" s="175"/>
      <c r="AC4" s="169"/>
    </row>
    <row r="5" spans="1:33" ht="16.5">
      <c r="A5" s="358" t="s">
        <v>1352</v>
      </c>
      <c r="B5" s="490"/>
      <c r="C5" s="490"/>
      <c r="D5" s="490"/>
      <c r="E5" s="171"/>
      <c r="F5" s="490"/>
      <c r="G5" s="171"/>
      <c r="H5" s="490"/>
      <c r="I5" s="171"/>
      <c r="J5" s="490"/>
      <c r="K5" s="490"/>
      <c r="L5" s="490"/>
      <c r="M5" s="174"/>
      <c r="N5" s="490"/>
      <c r="O5" s="171"/>
      <c r="P5" s="490"/>
      <c r="Q5" s="171"/>
      <c r="R5" s="490"/>
      <c r="S5" s="171"/>
      <c r="T5" s="490"/>
      <c r="U5" s="171"/>
      <c r="V5" s="490"/>
      <c r="W5" s="171"/>
      <c r="X5" s="490"/>
      <c r="Y5" s="171"/>
      <c r="Z5" s="491"/>
    </row>
    <row r="6" spans="1:33" ht="18" customHeight="1">
      <c r="A6" s="176" t="str">
        <f>'Cashflow Governmental'!A6</f>
        <v>FISCAL YEAR 2024-2025</v>
      </c>
      <c r="B6" s="490"/>
      <c r="C6" s="490"/>
      <c r="D6" s="178"/>
      <c r="E6" s="171"/>
      <c r="F6" s="490"/>
      <c r="G6" s="171"/>
      <c r="H6" s="490"/>
      <c r="I6" s="171"/>
      <c r="J6" s="490"/>
      <c r="K6" s="490"/>
      <c r="L6" s="490"/>
      <c r="M6" s="174"/>
      <c r="N6" s="490"/>
      <c r="O6" s="171"/>
      <c r="P6" s="490"/>
      <c r="Q6" s="171"/>
      <c r="R6" s="490"/>
      <c r="S6" s="171"/>
      <c r="T6" s="490"/>
      <c r="U6" s="171"/>
      <c r="V6" s="490"/>
      <c r="W6" s="171"/>
      <c r="X6" s="490"/>
      <c r="Y6" s="171"/>
      <c r="Z6" s="491"/>
    </row>
    <row r="7" spans="1:33" ht="15" customHeight="1">
      <c r="A7" s="177"/>
      <c r="B7" s="490"/>
      <c r="C7" s="490"/>
      <c r="D7" s="490"/>
      <c r="E7" s="171"/>
      <c r="F7" s="490"/>
      <c r="G7" s="171"/>
      <c r="H7" s="490"/>
      <c r="I7" s="171"/>
      <c r="J7" s="490"/>
      <c r="K7" s="490"/>
      <c r="L7" s="490"/>
      <c r="M7" s="174"/>
      <c r="N7" s="490"/>
      <c r="O7" s="171"/>
      <c r="P7" s="490"/>
      <c r="Q7" s="171"/>
      <c r="R7" s="492"/>
      <c r="S7" s="171"/>
      <c r="T7" s="492"/>
      <c r="U7" s="171"/>
      <c r="V7" s="492"/>
      <c r="W7" s="171"/>
      <c r="X7" s="492"/>
      <c r="Y7" s="171"/>
      <c r="Z7" s="491"/>
    </row>
    <row r="8" spans="1:33" ht="15.5">
      <c r="A8" s="168"/>
      <c r="B8" s="490"/>
      <c r="C8" s="490"/>
      <c r="D8" s="490"/>
      <c r="E8" s="171"/>
      <c r="F8" s="490"/>
      <c r="G8" s="171"/>
      <c r="H8" s="490"/>
      <c r="I8" s="171"/>
      <c r="J8" s="490"/>
      <c r="K8" s="490"/>
      <c r="L8" s="490"/>
      <c r="M8" s="171"/>
      <c r="N8" s="490"/>
      <c r="O8" s="171"/>
      <c r="P8" s="490"/>
      <c r="Q8" s="171"/>
      <c r="R8" s="490"/>
      <c r="S8" s="171"/>
      <c r="T8" s="490"/>
      <c r="U8" s="171"/>
      <c r="V8" s="490"/>
      <c r="W8" s="171"/>
      <c r="X8" s="490"/>
      <c r="Y8" s="171"/>
      <c r="Z8" s="179"/>
      <c r="AA8" s="180"/>
    </row>
    <row r="9" spans="1:33" ht="15" customHeight="1">
      <c r="A9" s="493"/>
      <c r="B9" s="383" t="str">
        <f>'Cashflow Governmental'!C13</f>
        <v>2024</v>
      </c>
      <c r="C9" s="181"/>
      <c r="D9" s="181"/>
      <c r="E9" s="174"/>
      <c r="F9" s="181"/>
      <c r="G9" s="174"/>
      <c r="H9" s="181"/>
      <c r="I9" s="174"/>
      <c r="J9" s="181"/>
      <c r="K9" s="181"/>
      <c r="L9" s="182"/>
      <c r="M9" s="174"/>
      <c r="N9" s="182"/>
      <c r="O9" s="174"/>
      <c r="P9" s="182"/>
      <c r="Q9" s="174"/>
      <c r="R9" s="182"/>
      <c r="S9" s="174"/>
      <c r="T9" s="383">
        <f>'Cashflow Governmental'!U13</f>
        <v>2025</v>
      </c>
      <c r="U9" s="174"/>
      <c r="V9" s="182"/>
      <c r="W9" s="174"/>
      <c r="X9" s="182"/>
      <c r="Y9" s="174"/>
      <c r="Z9" s="182" t="str">
        <f>_xlfn.CONCAT(_xlfn.TEXTBEFORE('Exhibit A'!$F$11," ")," MONTHS ENDED")</f>
        <v>11 MONTHS ENDED</v>
      </c>
      <c r="AA9" s="182"/>
      <c r="AB9" s="1737"/>
    </row>
    <row r="10" spans="1:33" ht="15" customHeight="1">
      <c r="A10" s="493"/>
      <c r="B10" s="183" t="s">
        <v>336</v>
      </c>
      <c r="C10" s="183"/>
      <c r="D10" s="182" t="s">
        <v>337</v>
      </c>
      <c r="E10" s="174"/>
      <c r="F10" s="182" t="s">
        <v>338</v>
      </c>
      <c r="G10" s="174"/>
      <c r="H10" s="182" t="s">
        <v>339</v>
      </c>
      <c r="I10" s="174"/>
      <c r="J10" s="182" t="s">
        <v>340</v>
      </c>
      <c r="K10" s="184"/>
      <c r="L10" s="182" t="s">
        <v>453</v>
      </c>
      <c r="M10" s="174"/>
      <c r="N10" s="182" t="s">
        <v>454</v>
      </c>
      <c r="O10" s="174"/>
      <c r="P10" s="182" t="s">
        <v>343</v>
      </c>
      <c r="Q10" s="174"/>
      <c r="R10" s="182" t="s">
        <v>344</v>
      </c>
      <c r="S10" s="174"/>
      <c r="T10" s="182" t="s">
        <v>345</v>
      </c>
      <c r="U10" s="174"/>
      <c r="V10" s="182" t="s">
        <v>346</v>
      </c>
      <c r="W10" s="174"/>
      <c r="X10" s="182" t="s">
        <v>455</v>
      </c>
      <c r="Y10" s="174"/>
      <c r="Z10" s="185" t="str">
        <f>'Sch 5 '!G12</f>
        <v>FEBRUARY 28, 2025</v>
      </c>
      <c r="AA10" s="185"/>
      <c r="AB10" s="1737"/>
    </row>
    <row r="11" spans="1:33" ht="15" customHeight="1">
      <c r="A11" s="493"/>
      <c r="B11" s="626" t="s">
        <v>103</v>
      </c>
      <c r="C11" s="494"/>
      <c r="D11" s="626" t="s">
        <v>103</v>
      </c>
      <c r="E11" s="495"/>
      <c r="F11" s="626" t="s">
        <v>103</v>
      </c>
      <c r="G11" s="495"/>
      <c r="H11" s="626" t="s">
        <v>103</v>
      </c>
      <c r="I11" s="495"/>
      <c r="J11" s="626" t="s">
        <v>103</v>
      </c>
      <c r="K11" s="184"/>
      <c r="L11" s="626" t="s">
        <v>103</v>
      </c>
      <c r="M11" s="495"/>
      <c r="N11" s="626" t="s">
        <v>103</v>
      </c>
      <c r="O11" s="495"/>
      <c r="P11" s="626" t="s">
        <v>103</v>
      </c>
      <c r="Q11" s="495"/>
      <c r="R11" s="626" t="s">
        <v>103</v>
      </c>
      <c r="S11" s="495"/>
      <c r="T11" s="626" t="s">
        <v>103</v>
      </c>
      <c r="U11" s="495"/>
      <c r="V11" s="626" t="s">
        <v>103</v>
      </c>
      <c r="W11" s="495"/>
      <c r="X11" s="626" t="s">
        <v>103</v>
      </c>
      <c r="Y11" s="495"/>
      <c r="Z11" s="1313" t="s">
        <v>103</v>
      </c>
    </row>
    <row r="12" spans="1:33" s="187" customFormat="1" ht="15" customHeight="1">
      <c r="A12" s="190" t="s">
        <v>937</v>
      </c>
      <c r="B12" s="186">
        <v>29144124</v>
      </c>
      <c r="C12" s="186"/>
      <c r="D12" s="186">
        <f>B44</f>
        <v>66528477</v>
      </c>
      <c r="E12" s="496"/>
      <c r="F12" s="186">
        <f>D44</f>
        <v>63960269</v>
      </c>
      <c r="G12" s="496"/>
      <c r="H12" s="186">
        <f>F44</f>
        <v>100849286</v>
      </c>
      <c r="I12" s="496"/>
      <c r="J12" s="186">
        <f>H44</f>
        <v>96606059</v>
      </c>
      <c r="K12" s="186"/>
      <c r="L12" s="186">
        <f>J44</f>
        <v>73557431</v>
      </c>
      <c r="M12" s="184"/>
      <c r="N12" s="186">
        <f>L44</f>
        <v>26372640</v>
      </c>
      <c r="O12" s="186"/>
      <c r="P12" s="186">
        <f>N44</f>
        <v>53529133</v>
      </c>
      <c r="Q12" s="186"/>
      <c r="R12" s="186">
        <f>P44</f>
        <v>43449055</v>
      </c>
      <c r="S12" s="186"/>
      <c r="T12" s="186">
        <f>R44</f>
        <v>14051148</v>
      </c>
      <c r="U12" s="186"/>
      <c r="V12" s="186">
        <f>T44</f>
        <v>58537038</v>
      </c>
      <c r="W12" s="186"/>
      <c r="X12" s="186"/>
      <c r="Y12" s="186"/>
      <c r="Z12" s="186">
        <f>+B12</f>
        <v>29144124</v>
      </c>
    </row>
    <row r="13" spans="1:33" ht="15" customHeight="1">
      <c r="A13" s="497"/>
      <c r="B13" s="498"/>
      <c r="C13" s="498"/>
      <c r="D13" s="498"/>
      <c r="E13" s="498"/>
      <c r="F13" s="498"/>
      <c r="G13" s="498"/>
      <c r="H13" s="498"/>
      <c r="I13" s="498"/>
      <c r="J13" s="498"/>
      <c r="K13" s="184"/>
      <c r="L13" s="498"/>
      <c r="M13" s="498"/>
      <c r="N13" s="498"/>
      <c r="O13" s="498"/>
      <c r="P13" s="498"/>
      <c r="Q13" s="498"/>
      <c r="R13" s="498"/>
      <c r="S13" s="498"/>
      <c r="T13" s="498"/>
      <c r="U13" s="498"/>
      <c r="V13" s="498"/>
      <c r="W13" s="498"/>
      <c r="X13" s="498"/>
      <c r="Y13" s="498"/>
      <c r="Z13" s="499"/>
    </row>
    <row r="14" spans="1:33" ht="15" customHeight="1">
      <c r="A14" s="188" t="s">
        <v>114</v>
      </c>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9"/>
      <c r="AC14" s="627"/>
    </row>
    <row r="15" spans="1:33" ht="15" customHeight="1">
      <c r="A15" s="359" t="s">
        <v>1353</v>
      </c>
      <c r="B15" s="500">
        <v>90000000</v>
      </c>
      <c r="C15" s="500"/>
      <c r="D15" s="500">
        <v>0</v>
      </c>
      <c r="E15" s="500"/>
      <c r="F15" s="500">
        <v>50000000</v>
      </c>
      <c r="G15" s="500"/>
      <c r="H15" s="500">
        <v>60000000</v>
      </c>
      <c r="I15" s="500"/>
      <c r="J15" s="627">
        <v>50000000</v>
      </c>
      <c r="K15" s="500"/>
      <c r="L15" s="500">
        <v>60000000</v>
      </c>
      <c r="M15" s="498"/>
      <c r="N15" s="500">
        <v>50000000</v>
      </c>
      <c r="O15" s="500"/>
      <c r="P15" s="500">
        <v>0</v>
      </c>
      <c r="Q15" s="500"/>
      <c r="R15" s="500">
        <v>50000000</v>
      </c>
      <c r="S15" s="500"/>
      <c r="T15" s="500">
        <v>50000000</v>
      </c>
      <c r="U15" s="500"/>
      <c r="V15" s="500">
        <v>50000000</v>
      </c>
      <c r="W15" s="500"/>
      <c r="X15" s="500"/>
      <c r="Y15" s="500"/>
      <c r="Z15" s="501">
        <f>SUM(B15:X15)</f>
        <v>510000000</v>
      </c>
    </row>
    <row r="16" spans="1:33" ht="15" customHeight="1">
      <c r="A16" s="359" t="s">
        <v>1354</v>
      </c>
      <c r="B16" s="500">
        <v>0</v>
      </c>
      <c r="C16" s="500"/>
      <c r="D16" s="500">
        <v>0</v>
      </c>
      <c r="E16" s="500"/>
      <c r="F16" s="500">
        <v>0</v>
      </c>
      <c r="G16" s="500"/>
      <c r="H16" s="1287">
        <v>0</v>
      </c>
      <c r="I16" s="500"/>
      <c r="J16" s="627">
        <v>0</v>
      </c>
      <c r="K16" s="500"/>
      <c r="L16" s="500">
        <v>0</v>
      </c>
      <c r="M16" s="498"/>
      <c r="N16" s="500">
        <v>0</v>
      </c>
      <c r="O16" s="500"/>
      <c r="P16" s="500">
        <v>0</v>
      </c>
      <c r="Q16" s="500"/>
      <c r="R16" s="500">
        <v>0</v>
      </c>
      <c r="S16" s="500"/>
      <c r="T16" s="500">
        <v>0</v>
      </c>
      <c r="U16" s="500"/>
      <c r="V16" s="500">
        <v>0</v>
      </c>
      <c r="W16" s="500"/>
      <c r="X16" s="500"/>
      <c r="Y16" s="500"/>
      <c r="Z16" s="501">
        <f>SUM(B16:X16)</f>
        <v>0</v>
      </c>
    </row>
    <row r="17" spans="1:28" s="187" customFormat="1" ht="22.5" customHeight="1">
      <c r="A17" s="188" t="s">
        <v>435</v>
      </c>
      <c r="B17" s="607">
        <f>ROUND(SUM(B15:B16),0)</f>
        <v>90000000</v>
      </c>
      <c r="C17" s="189"/>
      <c r="D17" s="607">
        <f>ROUND(SUM(D15:D16),0)</f>
        <v>0</v>
      </c>
      <c r="E17" s="189"/>
      <c r="F17" s="607">
        <f>ROUND(SUM(F15:F16),0)</f>
        <v>50000000</v>
      </c>
      <c r="G17" s="189"/>
      <c r="H17" s="1288">
        <f>SUM(H15:H16)</f>
        <v>60000000</v>
      </c>
      <c r="I17" s="189"/>
      <c r="J17" s="607">
        <f>ROUND(SUM(J15:J16),0)</f>
        <v>50000000</v>
      </c>
      <c r="K17" s="189"/>
      <c r="L17" s="607">
        <f>ROUND(SUM(L15:L16),0)</f>
        <v>60000000</v>
      </c>
      <c r="M17" s="184"/>
      <c r="N17" s="607">
        <f>ROUND(SUM(N15:N16),0)</f>
        <v>50000000</v>
      </c>
      <c r="O17" s="189"/>
      <c r="P17" s="607">
        <f>ROUND(SUM(P15:P16),0)</f>
        <v>0</v>
      </c>
      <c r="Q17" s="189"/>
      <c r="R17" s="607">
        <f>ROUND(SUM(R15:R16),0)</f>
        <v>50000000</v>
      </c>
      <c r="S17" s="189"/>
      <c r="T17" s="607">
        <f>ROUND(SUM(T15:T16),0)</f>
        <v>50000000</v>
      </c>
      <c r="U17" s="189"/>
      <c r="V17" s="607">
        <f>ROUND(SUM(V15:V16),0)</f>
        <v>50000000</v>
      </c>
      <c r="W17" s="189"/>
      <c r="X17" s="607">
        <f>ROUND(SUM(X15:X16),0)</f>
        <v>0</v>
      </c>
      <c r="Y17" s="189"/>
      <c r="Z17" s="607">
        <f>ROUND(SUM(Z15:Z16),0)</f>
        <v>510000000</v>
      </c>
      <c r="AB17" s="120"/>
    </row>
    <row r="18" spans="1:28" ht="15" customHeight="1">
      <c r="A18" s="497"/>
      <c r="B18" s="500"/>
      <c r="C18" s="500"/>
      <c r="D18" s="500"/>
      <c r="E18" s="500"/>
      <c r="F18" s="500"/>
      <c r="G18" s="500"/>
      <c r="H18" s="500"/>
      <c r="I18" s="500"/>
      <c r="J18" s="500"/>
      <c r="K18" s="500"/>
      <c r="L18" s="500"/>
      <c r="M18" s="498"/>
      <c r="N18" s="500"/>
      <c r="O18" s="500"/>
      <c r="P18" s="500"/>
      <c r="Q18" s="500"/>
      <c r="R18" s="500"/>
      <c r="S18" s="500"/>
      <c r="T18" s="500"/>
      <c r="U18" s="500"/>
      <c r="V18" s="500"/>
      <c r="W18" s="500"/>
      <c r="X18" s="500"/>
      <c r="Y18" s="500"/>
      <c r="Z18" s="503"/>
    </row>
    <row r="19" spans="1:28" ht="15" customHeight="1">
      <c r="A19" s="188" t="s">
        <v>122</v>
      </c>
      <c r="B19" s="500"/>
      <c r="C19" s="500"/>
      <c r="D19" s="500"/>
      <c r="E19" s="500"/>
      <c r="F19" s="500"/>
      <c r="G19" s="500"/>
      <c r="H19" s="500"/>
      <c r="I19" s="500"/>
      <c r="J19" s="500"/>
      <c r="K19" s="500"/>
      <c r="L19" s="500"/>
      <c r="M19" s="498"/>
      <c r="N19" s="500"/>
      <c r="O19" s="500"/>
      <c r="P19" s="500"/>
      <c r="Q19" s="500"/>
      <c r="R19" s="500"/>
      <c r="S19" s="500"/>
      <c r="T19" s="500"/>
      <c r="U19" s="500"/>
      <c r="V19" s="500"/>
      <c r="W19" s="500"/>
      <c r="X19" s="500"/>
      <c r="Y19" s="500"/>
      <c r="Z19" s="501"/>
    </row>
    <row r="20" spans="1:28" ht="15" customHeight="1">
      <c r="A20" s="359" t="s">
        <v>1355</v>
      </c>
      <c r="B20" s="500">
        <v>0</v>
      </c>
      <c r="C20" s="500"/>
      <c r="D20" s="500">
        <v>0</v>
      </c>
      <c r="E20" s="500"/>
      <c r="F20" s="500">
        <v>0</v>
      </c>
      <c r="G20" s="500"/>
      <c r="H20" s="500">
        <v>0</v>
      </c>
      <c r="I20" s="500"/>
      <c r="J20" s="500">
        <v>0</v>
      </c>
      <c r="K20" s="500"/>
      <c r="L20" s="500">
        <v>0</v>
      </c>
      <c r="M20" s="498"/>
      <c r="N20" s="500">
        <v>0</v>
      </c>
      <c r="O20" s="500"/>
      <c r="P20" s="500">
        <v>0</v>
      </c>
      <c r="Q20" s="500"/>
      <c r="R20" s="500">
        <v>0</v>
      </c>
      <c r="S20" s="500"/>
      <c r="T20" s="500">
        <v>0</v>
      </c>
      <c r="U20" s="500"/>
      <c r="V20" s="500">
        <v>0</v>
      </c>
      <c r="W20" s="500"/>
      <c r="X20" s="500"/>
      <c r="Y20" s="500"/>
      <c r="Z20" s="501">
        <f>ROUND(SUM(B20:X20),0)</f>
        <v>0</v>
      </c>
    </row>
    <row r="21" spans="1:28" ht="15" customHeight="1">
      <c r="A21" s="359" t="s">
        <v>1356</v>
      </c>
      <c r="B21" s="500">
        <v>1547276</v>
      </c>
      <c r="C21" s="500"/>
      <c r="D21" s="500">
        <v>0</v>
      </c>
      <c r="E21" s="500"/>
      <c r="F21" s="500">
        <v>1236649</v>
      </c>
      <c r="G21" s="500"/>
      <c r="H21" s="500">
        <v>0</v>
      </c>
      <c r="I21" s="500"/>
      <c r="J21" s="500">
        <v>0</v>
      </c>
      <c r="K21" s="500"/>
      <c r="L21" s="500">
        <v>0</v>
      </c>
      <c r="M21" s="498"/>
      <c r="N21" s="500">
        <v>0</v>
      </c>
      <c r="O21" s="500"/>
      <c r="P21" s="500">
        <v>0</v>
      </c>
      <c r="Q21" s="500"/>
      <c r="R21" s="500">
        <v>104616</v>
      </c>
      <c r="S21" s="500"/>
      <c r="T21" s="500">
        <v>0</v>
      </c>
      <c r="U21" s="500"/>
      <c r="V21" s="500">
        <v>1304388</v>
      </c>
      <c r="W21" s="500"/>
      <c r="X21" s="500"/>
      <c r="Y21" s="500"/>
      <c r="Z21" s="972">
        <f>ROUND(SUM(B21:X21),0)</f>
        <v>4192929</v>
      </c>
    </row>
    <row r="22" spans="1:28" ht="15" customHeight="1">
      <c r="A22" s="359" t="s">
        <v>1357</v>
      </c>
      <c r="B22" s="500">
        <v>998067</v>
      </c>
      <c r="C22" s="500"/>
      <c r="D22" s="500">
        <v>409807</v>
      </c>
      <c r="E22" s="500"/>
      <c r="F22" s="500">
        <v>0</v>
      </c>
      <c r="G22" s="500"/>
      <c r="H22" s="500">
        <v>640</v>
      </c>
      <c r="I22" s="500"/>
      <c r="J22" s="500">
        <v>150000</v>
      </c>
      <c r="K22" s="500"/>
      <c r="L22" s="500">
        <v>0</v>
      </c>
      <c r="M22" s="498"/>
      <c r="N22" s="500">
        <v>71177</v>
      </c>
      <c r="O22" s="500"/>
      <c r="P22" s="500">
        <v>0</v>
      </c>
      <c r="Q22" s="500"/>
      <c r="R22" s="500">
        <v>0</v>
      </c>
      <c r="S22" s="500"/>
      <c r="T22" s="500">
        <v>387069</v>
      </c>
      <c r="U22" s="500"/>
      <c r="V22" s="500">
        <v>3985651</v>
      </c>
      <c r="W22" s="500"/>
      <c r="X22" s="500"/>
      <c r="Y22" s="500"/>
      <c r="Z22" s="972">
        <f t="shared" ref="Z22:Z25" si="0">ROUND(SUM(B22:X22),0)</f>
        <v>6002411</v>
      </c>
      <c r="AB22" s="893"/>
    </row>
    <row r="23" spans="1:28" ht="15" customHeight="1">
      <c r="A23" s="359" t="s">
        <v>1536</v>
      </c>
      <c r="B23" s="500">
        <v>0</v>
      </c>
      <c r="C23" s="500"/>
      <c r="D23" s="500">
        <v>0</v>
      </c>
      <c r="E23" s="500"/>
      <c r="F23" s="500">
        <v>0</v>
      </c>
      <c r="G23" s="500"/>
      <c r="H23" s="500">
        <v>0</v>
      </c>
      <c r="I23" s="500"/>
      <c r="J23" s="500">
        <v>54000000</v>
      </c>
      <c r="K23" s="500"/>
      <c r="L23" s="500">
        <v>0</v>
      </c>
      <c r="M23" s="498"/>
      <c r="N23" s="500">
        <v>0</v>
      </c>
      <c r="O23" s="500"/>
      <c r="P23" s="500">
        <v>0</v>
      </c>
      <c r="Q23" s="500"/>
      <c r="R23" s="500">
        <v>0</v>
      </c>
      <c r="S23" s="500"/>
      <c r="T23" s="500">
        <v>0</v>
      </c>
      <c r="U23" s="500"/>
      <c r="V23" s="500">
        <v>0</v>
      </c>
      <c r="W23" s="500"/>
      <c r="X23" s="500"/>
      <c r="Y23" s="500"/>
      <c r="Z23" s="972">
        <f t="shared" si="0"/>
        <v>54000000</v>
      </c>
      <c r="AB23" s="893"/>
    </row>
    <row r="24" spans="1:28" ht="15" customHeight="1">
      <c r="A24" s="359" t="s">
        <v>1358</v>
      </c>
      <c r="B24" s="500">
        <v>0</v>
      </c>
      <c r="C24" s="500"/>
      <c r="D24" s="500">
        <v>0</v>
      </c>
      <c r="E24" s="500"/>
      <c r="F24" s="500">
        <v>0</v>
      </c>
      <c r="G24" s="500"/>
      <c r="H24" s="500">
        <v>0</v>
      </c>
      <c r="I24" s="500"/>
      <c r="J24" s="500">
        <v>0</v>
      </c>
      <c r="K24" s="500"/>
      <c r="L24" s="500">
        <v>0</v>
      </c>
      <c r="M24" s="498"/>
      <c r="N24" s="500">
        <v>0</v>
      </c>
      <c r="O24" s="500"/>
      <c r="P24" s="500">
        <v>0</v>
      </c>
      <c r="Q24" s="500"/>
      <c r="R24" s="500">
        <v>0</v>
      </c>
      <c r="S24" s="500"/>
      <c r="T24" s="500">
        <v>0</v>
      </c>
      <c r="U24" s="500"/>
      <c r="V24" s="500">
        <v>0</v>
      </c>
      <c r="W24" s="500"/>
      <c r="X24" s="500"/>
      <c r="Y24" s="500"/>
      <c r="Z24" s="972">
        <f t="shared" si="0"/>
        <v>0</v>
      </c>
    </row>
    <row r="25" spans="1:28" ht="15" customHeight="1">
      <c r="A25" s="359" t="s">
        <v>1359</v>
      </c>
      <c r="B25" s="500">
        <v>0</v>
      </c>
      <c r="C25" s="500"/>
      <c r="D25" s="500">
        <v>0</v>
      </c>
      <c r="E25" s="500"/>
      <c r="F25" s="500">
        <v>0</v>
      </c>
      <c r="G25" s="500"/>
      <c r="H25" s="500">
        <v>0</v>
      </c>
      <c r="I25" s="500"/>
      <c r="J25" s="500">
        <v>0</v>
      </c>
      <c r="K25" s="500"/>
      <c r="L25" s="500">
        <v>0</v>
      </c>
      <c r="M25" s="498"/>
      <c r="N25" s="500">
        <v>0</v>
      </c>
      <c r="O25" s="500"/>
      <c r="P25" s="500">
        <v>0</v>
      </c>
      <c r="Q25" s="500"/>
      <c r="R25" s="500">
        <v>0</v>
      </c>
      <c r="S25" s="500"/>
      <c r="T25" s="500">
        <v>0</v>
      </c>
      <c r="U25" s="500"/>
      <c r="V25" s="500">
        <v>0</v>
      </c>
      <c r="W25" s="500"/>
      <c r="X25" s="500"/>
      <c r="Y25" s="500"/>
      <c r="Z25" s="972">
        <f t="shared" si="0"/>
        <v>0</v>
      </c>
    </row>
    <row r="26" spans="1:28" ht="15" customHeight="1">
      <c r="A26" s="359" t="s">
        <v>1360</v>
      </c>
      <c r="B26" s="500">
        <v>8206</v>
      </c>
      <c r="C26" s="500"/>
      <c r="D26" s="500">
        <v>0</v>
      </c>
      <c r="E26" s="500"/>
      <c r="F26" s="500">
        <v>0</v>
      </c>
      <c r="G26" s="500"/>
      <c r="H26" s="500">
        <v>71500</v>
      </c>
      <c r="I26" s="500"/>
      <c r="J26" s="500">
        <v>0</v>
      </c>
      <c r="K26" s="500"/>
      <c r="L26" s="500">
        <v>110811</v>
      </c>
      <c r="M26" s="498"/>
      <c r="N26" s="500">
        <v>0</v>
      </c>
      <c r="O26" s="500"/>
      <c r="P26" s="500">
        <v>36159</v>
      </c>
      <c r="Q26" s="500"/>
      <c r="R26" s="500">
        <v>0</v>
      </c>
      <c r="S26" s="500"/>
      <c r="T26" s="500">
        <v>0</v>
      </c>
      <c r="U26" s="500"/>
      <c r="V26" s="500">
        <v>0</v>
      </c>
      <c r="W26" s="500"/>
      <c r="X26" s="500"/>
      <c r="Y26" s="500"/>
      <c r="Z26" s="972">
        <f>ROUND(SUM(B26:X26),0)</f>
        <v>226676</v>
      </c>
    </row>
    <row r="27" spans="1:28" ht="14.9" customHeight="1">
      <c r="A27" s="359" t="s">
        <v>1361</v>
      </c>
      <c r="B27" s="500">
        <v>1004500</v>
      </c>
      <c r="C27" s="500"/>
      <c r="D27" s="500">
        <v>445000</v>
      </c>
      <c r="E27" s="500"/>
      <c r="F27" s="500">
        <v>911366</v>
      </c>
      <c r="G27" s="500"/>
      <c r="H27" s="500">
        <v>83333</v>
      </c>
      <c r="I27" s="500"/>
      <c r="J27" s="500">
        <v>15214519</v>
      </c>
      <c r="K27" s="500"/>
      <c r="L27" s="500">
        <v>159468</v>
      </c>
      <c r="M27" s="498"/>
      <c r="N27" s="500">
        <v>589722</v>
      </c>
      <c r="O27" s="500"/>
      <c r="P27" s="500">
        <v>450774</v>
      </c>
      <c r="Q27" s="500"/>
      <c r="R27" s="500">
        <v>1455000</v>
      </c>
      <c r="S27" s="500"/>
      <c r="T27" s="500">
        <v>142322</v>
      </c>
      <c r="U27" s="500"/>
      <c r="V27" s="500">
        <v>2016065</v>
      </c>
      <c r="W27" s="500"/>
      <c r="X27" s="500"/>
      <c r="Y27" s="500"/>
      <c r="Z27" s="972">
        <f t="shared" ref="Z27:Z31" si="1">ROUND(SUM(B27:X27),0)</f>
        <v>22472069</v>
      </c>
    </row>
    <row r="28" spans="1:28" ht="14.9" customHeight="1">
      <c r="A28" s="359" t="s">
        <v>1362</v>
      </c>
      <c r="B28" s="500">
        <v>509576</v>
      </c>
      <c r="C28" s="500"/>
      <c r="D28" s="500">
        <v>808810</v>
      </c>
      <c r="E28" s="500"/>
      <c r="F28" s="500">
        <v>1276147</v>
      </c>
      <c r="G28" s="500"/>
      <c r="H28" s="500">
        <v>644425</v>
      </c>
      <c r="I28" s="500"/>
      <c r="J28" s="500">
        <v>0</v>
      </c>
      <c r="K28" s="500"/>
      <c r="L28" s="500">
        <v>0</v>
      </c>
      <c r="M28" s="498"/>
      <c r="N28" s="500">
        <v>0</v>
      </c>
      <c r="O28" s="500"/>
      <c r="P28" s="500">
        <v>0</v>
      </c>
      <c r="Q28" s="500"/>
      <c r="R28" s="500">
        <v>0</v>
      </c>
      <c r="S28" s="500"/>
      <c r="T28" s="500">
        <v>2804305</v>
      </c>
      <c r="U28" s="500"/>
      <c r="V28" s="500">
        <v>4487446</v>
      </c>
      <c r="W28" s="500"/>
      <c r="X28" s="500"/>
      <c r="Y28" s="500"/>
      <c r="Z28" s="972">
        <f t="shared" si="1"/>
        <v>10530709</v>
      </c>
    </row>
    <row r="29" spans="1:28" ht="14.9" customHeight="1">
      <c r="A29" s="359" t="s">
        <v>1425</v>
      </c>
      <c r="B29" s="500">
        <v>48469000</v>
      </c>
      <c r="C29" s="500"/>
      <c r="D29" s="500">
        <v>0</v>
      </c>
      <c r="E29" s="500"/>
      <c r="F29" s="500">
        <v>0</v>
      </c>
      <c r="G29" s="500"/>
      <c r="H29" s="500">
        <v>54763000</v>
      </c>
      <c r="I29" s="500"/>
      <c r="J29" s="500">
        <v>0</v>
      </c>
      <c r="K29" s="500"/>
      <c r="L29" s="500">
        <v>68486000</v>
      </c>
      <c r="M29" s="498"/>
      <c r="N29" s="500">
        <v>0</v>
      </c>
      <c r="O29" s="500"/>
      <c r="P29" s="500">
        <v>0</v>
      </c>
      <c r="Q29" s="500"/>
      <c r="R29" s="500">
        <v>73153000</v>
      </c>
      <c r="S29" s="500"/>
      <c r="T29" s="500">
        <v>0</v>
      </c>
      <c r="U29" s="500"/>
      <c r="V29" s="500">
        <v>0</v>
      </c>
      <c r="W29" s="500"/>
      <c r="X29" s="500"/>
      <c r="Y29" s="500"/>
      <c r="Z29" s="972">
        <f t="shared" si="1"/>
        <v>244871000</v>
      </c>
    </row>
    <row r="30" spans="1:28" ht="14.9" customHeight="1">
      <c r="A30" s="359" t="s">
        <v>1426</v>
      </c>
      <c r="B30" s="500">
        <v>0</v>
      </c>
      <c r="C30" s="500"/>
      <c r="D30" s="500">
        <v>0</v>
      </c>
      <c r="E30" s="500"/>
      <c r="F30" s="500">
        <v>0</v>
      </c>
      <c r="G30" s="500"/>
      <c r="H30" s="500">
        <v>0</v>
      </c>
      <c r="I30" s="500"/>
      <c r="J30" s="500">
        <v>0</v>
      </c>
      <c r="K30" s="500"/>
      <c r="L30" s="500">
        <v>0</v>
      </c>
      <c r="M30" s="498"/>
      <c r="N30" s="500">
        <v>0</v>
      </c>
      <c r="O30" s="500"/>
      <c r="P30" s="500">
        <v>0</v>
      </c>
      <c r="Q30" s="500"/>
      <c r="R30" s="500">
        <v>0</v>
      </c>
      <c r="S30" s="500"/>
      <c r="T30" s="500">
        <v>0</v>
      </c>
      <c r="U30" s="500"/>
      <c r="V30" s="500">
        <v>0</v>
      </c>
      <c r="W30" s="500"/>
      <c r="X30" s="500"/>
      <c r="Y30" s="500"/>
      <c r="Z30" s="972">
        <f t="shared" si="1"/>
        <v>0</v>
      </c>
    </row>
    <row r="31" spans="1:28" ht="15" customHeight="1">
      <c r="A31" s="359" t="s">
        <v>1363</v>
      </c>
      <c r="B31" s="500">
        <v>0</v>
      </c>
      <c r="C31" s="500"/>
      <c r="D31" s="500">
        <v>0</v>
      </c>
      <c r="E31" s="500"/>
      <c r="F31" s="500">
        <v>0</v>
      </c>
      <c r="G31" s="500"/>
      <c r="H31" s="500">
        <v>0</v>
      </c>
      <c r="I31" s="500"/>
      <c r="J31" s="500">
        <v>0</v>
      </c>
      <c r="K31" s="500"/>
      <c r="L31" s="500">
        <v>0</v>
      </c>
      <c r="M31" s="498"/>
      <c r="N31" s="500">
        <v>0</v>
      </c>
      <c r="O31" s="500"/>
      <c r="P31" s="500">
        <v>0</v>
      </c>
      <c r="Q31" s="500"/>
      <c r="R31" s="500">
        <v>0</v>
      </c>
      <c r="S31" s="500"/>
      <c r="T31" s="500">
        <v>0</v>
      </c>
      <c r="U31" s="500"/>
      <c r="V31" s="500">
        <v>0</v>
      </c>
      <c r="W31" s="500"/>
      <c r="X31" s="500"/>
      <c r="Y31" s="500"/>
      <c r="Z31" s="501">
        <f t="shared" si="1"/>
        <v>0</v>
      </c>
    </row>
    <row r="32" spans="1:28" ht="15" customHeight="1">
      <c r="A32" s="359" t="s">
        <v>1364</v>
      </c>
      <c r="B32" s="500">
        <v>42280</v>
      </c>
      <c r="C32" s="500"/>
      <c r="D32" s="500">
        <v>-10711</v>
      </c>
      <c r="E32" s="500"/>
      <c r="F32" s="500">
        <v>620187</v>
      </c>
      <c r="G32" s="500"/>
      <c r="H32" s="500">
        <v>2709</v>
      </c>
      <c r="I32" s="500"/>
      <c r="J32" s="500">
        <v>103461</v>
      </c>
      <c r="K32" s="500"/>
      <c r="L32" s="500">
        <v>482349</v>
      </c>
      <c r="M32" s="498"/>
      <c r="N32" s="500">
        <v>794254</v>
      </c>
      <c r="O32" s="500"/>
      <c r="P32" s="500">
        <v>68298</v>
      </c>
      <c r="Q32" s="500"/>
      <c r="R32" s="500">
        <v>130525</v>
      </c>
      <c r="S32" s="500"/>
      <c r="T32" s="500">
        <v>0</v>
      </c>
      <c r="U32" s="500"/>
      <c r="V32" s="500">
        <v>78438</v>
      </c>
      <c r="W32" s="500"/>
      <c r="X32" s="500"/>
      <c r="Y32" s="500"/>
      <c r="Z32" s="501">
        <f t="shared" ref="Z32" si="2">ROUND(SUM(B32:X32),0)</f>
        <v>2311790</v>
      </c>
    </row>
    <row r="33" spans="1:28" ht="15" customHeight="1">
      <c r="A33" s="359" t="s">
        <v>1365</v>
      </c>
      <c r="B33" s="500">
        <v>37529</v>
      </c>
      <c r="C33" s="500"/>
      <c r="D33" s="500">
        <v>103489</v>
      </c>
      <c r="E33" s="500"/>
      <c r="F33" s="500">
        <v>4651243</v>
      </c>
      <c r="G33" s="500"/>
      <c r="H33" s="500">
        <v>8497589</v>
      </c>
      <c r="I33" s="500"/>
      <c r="J33" s="500">
        <v>2811829</v>
      </c>
      <c r="K33" s="500"/>
      <c r="L33" s="500">
        <v>25060141</v>
      </c>
      <c r="M33" s="498"/>
      <c r="N33" s="500">
        <v>6718387</v>
      </c>
      <c r="O33" s="500"/>
      <c r="P33" s="500">
        <v>423370</v>
      </c>
      <c r="Q33" s="500"/>
      <c r="R33" s="500">
        <v>3248991</v>
      </c>
      <c r="S33" s="500"/>
      <c r="T33" s="500">
        <v>1661840</v>
      </c>
      <c r="U33" s="500"/>
      <c r="V33" s="500">
        <v>9995568</v>
      </c>
      <c r="W33" s="500"/>
      <c r="X33" s="500"/>
      <c r="Y33" s="500"/>
      <c r="Z33" s="501">
        <f>ROUND(SUM(B33:X33),0)</f>
        <v>63209976</v>
      </c>
    </row>
    <row r="34" spans="1:28" ht="15" customHeight="1">
      <c r="A34" s="359" t="s">
        <v>1475</v>
      </c>
      <c r="B34" s="500">
        <v>0</v>
      </c>
      <c r="C34" s="500"/>
      <c r="D34" s="500">
        <v>0</v>
      </c>
      <c r="E34" s="500"/>
      <c r="F34" s="500">
        <v>0</v>
      </c>
      <c r="G34" s="500"/>
      <c r="H34" s="500">
        <v>0</v>
      </c>
      <c r="I34" s="500"/>
      <c r="J34" s="500">
        <v>0</v>
      </c>
      <c r="K34" s="500"/>
      <c r="L34" s="500">
        <v>0</v>
      </c>
      <c r="M34" s="498"/>
      <c r="N34" s="500">
        <v>0</v>
      </c>
      <c r="O34" s="500"/>
      <c r="P34" s="500">
        <v>0</v>
      </c>
      <c r="Q34" s="500"/>
      <c r="R34" s="500">
        <v>0</v>
      </c>
      <c r="S34" s="500"/>
      <c r="T34" s="500">
        <v>0</v>
      </c>
      <c r="U34" s="500"/>
      <c r="V34" s="500">
        <v>0</v>
      </c>
      <c r="W34" s="500"/>
      <c r="X34" s="500"/>
      <c r="Y34" s="500"/>
      <c r="Z34" s="501">
        <f>ROUND(SUM(B34:X34),0)</f>
        <v>0</v>
      </c>
    </row>
    <row r="35" spans="1:28" ht="15" customHeight="1">
      <c r="A35" s="359" t="s">
        <v>1366</v>
      </c>
      <c r="B35" s="500">
        <v>-787</v>
      </c>
      <c r="C35" s="500"/>
      <c r="D35" s="500">
        <v>811813</v>
      </c>
      <c r="E35" s="500"/>
      <c r="F35" s="500">
        <v>4415391</v>
      </c>
      <c r="G35" s="500"/>
      <c r="H35" s="500">
        <v>180031</v>
      </c>
      <c r="I35" s="500"/>
      <c r="J35" s="500">
        <v>768819</v>
      </c>
      <c r="K35" s="500"/>
      <c r="L35" s="500">
        <v>12886022</v>
      </c>
      <c r="M35" s="498"/>
      <c r="N35" s="500">
        <v>14669967</v>
      </c>
      <c r="O35" s="500"/>
      <c r="P35" s="500">
        <v>9101477</v>
      </c>
      <c r="Q35" s="500"/>
      <c r="R35" s="500">
        <v>1305775</v>
      </c>
      <c r="S35" s="500"/>
      <c r="T35" s="500">
        <v>518574</v>
      </c>
      <c r="U35" s="500"/>
      <c r="V35" s="500">
        <v>5830022</v>
      </c>
      <c r="W35" s="500"/>
      <c r="X35" s="500"/>
      <c r="Y35" s="500"/>
      <c r="Z35" s="501">
        <f>ROUND(SUM(B35:X35),0)</f>
        <v>50487104</v>
      </c>
    </row>
    <row r="36" spans="1:28" ht="22.5" customHeight="1">
      <c r="A36" s="188" t="s">
        <v>465</v>
      </c>
      <c r="B36" s="607">
        <f>ROUND(SUM(B20:B35),0)</f>
        <v>52615647</v>
      </c>
      <c r="C36" s="500"/>
      <c r="D36" s="607">
        <f>ROUND(SUM(D20:D35),0)</f>
        <v>2568208</v>
      </c>
      <c r="E36" s="500"/>
      <c r="F36" s="607">
        <f>ROUND(SUM(F20:F35),0)</f>
        <v>13110983</v>
      </c>
      <c r="G36" s="500"/>
      <c r="H36" s="607">
        <f>ROUND(SUM(H20:H35),0)</f>
        <v>64243227</v>
      </c>
      <c r="I36" s="500"/>
      <c r="J36" s="607">
        <f>ROUND(SUM(J20:J35),0)</f>
        <v>73048628</v>
      </c>
      <c r="K36" s="500"/>
      <c r="L36" s="607">
        <f>ROUND(SUM(L20:L35),0)</f>
        <v>107184791</v>
      </c>
      <c r="M36" s="498"/>
      <c r="N36" s="607">
        <f>ROUND(SUM(N20:N35),0)</f>
        <v>22843507</v>
      </c>
      <c r="O36" s="500"/>
      <c r="P36" s="607">
        <f>ROUND(SUM(P20:P35),0)</f>
        <v>10080078</v>
      </c>
      <c r="Q36" s="500"/>
      <c r="R36" s="607">
        <f>ROUND(SUM(R20:R35),0)</f>
        <v>79397907</v>
      </c>
      <c r="S36" s="500"/>
      <c r="T36" s="607">
        <f>ROUND(SUM(T20:T35),0)</f>
        <v>5514110</v>
      </c>
      <c r="U36" s="500"/>
      <c r="V36" s="607">
        <f>ROUND(SUM(V20:V35),0)</f>
        <v>27697578</v>
      </c>
      <c r="W36" s="500"/>
      <c r="X36" s="607">
        <f>ROUND(SUM(X20:X35),0)</f>
        <v>0</v>
      </c>
      <c r="Y36" s="500"/>
      <c r="Z36" s="607">
        <f>ROUND(SUM(Z20:Z35),0)</f>
        <v>458304664</v>
      </c>
    </row>
    <row r="37" spans="1:28" ht="15" customHeight="1">
      <c r="A37" s="188"/>
      <c r="B37" s="500"/>
      <c r="C37" s="500"/>
      <c r="D37" s="500"/>
      <c r="E37" s="500"/>
      <c r="F37" s="502"/>
      <c r="G37" s="500"/>
      <c r="H37" s="502"/>
      <c r="I37" s="500"/>
      <c r="J37" s="500"/>
      <c r="K37" s="500"/>
      <c r="L37" s="505"/>
      <c r="M37" s="498"/>
      <c r="N37" s="505"/>
      <c r="O37" s="500"/>
      <c r="P37" s="500"/>
      <c r="Q37" s="500"/>
      <c r="R37" s="502"/>
      <c r="S37" s="500"/>
      <c r="T37" s="502"/>
      <c r="U37" s="500"/>
      <c r="V37" s="500"/>
      <c r="W37" s="500"/>
      <c r="X37" s="502"/>
      <c r="Y37" s="500"/>
      <c r="Z37" s="501"/>
    </row>
    <row r="38" spans="1:28" ht="15" customHeight="1">
      <c r="A38" s="190" t="s">
        <v>953</v>
      </c>
      <c r="B38" s="502"/>
      <c r="C38" s="502"/>
      <c r="D38" s="502"/>
      <c r="E38" s="500"/>
      <c r="F38" s="505"/>
      <c r="G38" s="500"/>
      <c r="H38" s="502"/>
      <c r="I38" s="500"/>
      <c r="J38" s="502"/>
      <c r="K38" s="500"/>
      <c r="L38" s="502"/>
      <c r="M38" s="498"/>
      <c r="N38" s="502"/>
      <c r="O38" s="500"/>
      <c r="P38" s="500"/>
      <c r="Q38" s="500"/>
      <c r="R38" s="502"/>
      <c r="S38" s="500"/>
      <c r="T38" s="502"/>
      <c r="U38" s="500"/>
      <c r="V38" s="505"/>
      <c r="W38" s="500"/>
      <c r="X38" s="505"/>
      <c r="Y38" s="500"/>
      <c r="Z38" s="501"/>
    </row>
    <row r="39" spans="1:28" ht="15" customHeight="1">
      <c r="A39" s="359" t="s">
        <v>955</v>
      </c>
      <c r="B39" s="500">
        <v>0</v>
      </c>
      <c r="C39" s="502"/>
      <c r="D39" s="500">
        <v>0</v>
      </c>
      <c r="E39" s="500"/>
      <c r="F39" s="500">
        <v>0</v>
      </c>
      <c r="G39" s="500"/>
      <c r="H39" s="500">
        <v>0</v>
      </c>
      <c r="I39" s="500"/>
      <c r="J39" s="504">
        <v>0</v>
      </c>
      <c r="K39" s="500"/>
      <c r="L39" s="500">
        <v>0</v>
      </c>
      <c r="M39" s="498"/>
      <c r="N39" s="500">
        <v>0</v>
      </c>
      <c r="O39" s="500"/>
      <c r="P39" s="500">
        <v>0</v>
      </c>
      <c r="Q39" s="500"/>
      <c r="R39" s="500">
        <v>0</v>
      </c>
      <c r="S39" s="500"/>
      <c r="T39" s="500">
        <v>0</v>
      </c>
      <c r="U39" s="500"/>
      <c r="V39" s="500">
        <v>0</v>
      </c>
      <c r="W39" s="500"/>
      <c r="X39" s="500"/>
      <c r="Y39" s="500"/>
      <c r="Z39" s="501">
        <f>ROUND(SUM(B39:X39),0)</f>
        <v>0</v>
      </c>
    </row>
    <row r="40" spans="1:28" ht="22.5" customHeight="1">
      <c r="A40" s="188" t="s">
        <v>960</v>
      </c>
      <c r="B40" s="614">
        <f>ROUND(SUM(B39:B39),0)</f>
        <v>0</v>
      </c>
      <c r="C40" s="502"/>
      <c r="D40" s="614">
        <f>ROUND(SUM(D39:D39),0)</f>
        <v>0</v>
      </c>
      <c r="E40" s="500"/>
      <c r="F40" s="614">
        <f>ROUND(SUM(F39:F39),0)</f>
        <v>0</v>
      </c>
      <c r="G40" s="500"/>
      <c r="H40" s="614">
        <f>ROUND(SUM(H39:H39),0)</f>
        <v>0</v>
      </c>
      <c r="I40" s="500"/>
      <c r="J40" s="614">
        <f>ROUND(SUM(J39:J39),0)</f>
        <v>0</v>
      </c>
      <c r="K40" s="500"/>
      <c r="L40" s="614">
        <f>ROUND(SUM(L39:L39),0)</f>
        <v>0</v>
      </c>
      <c r="M40" s="498"/>
      <c r="N40" s="614">
        <f>ROUND(SUM(N39:N39),0)</f>
        <v>0</v>
      </c>
      <c r="O40" s="500"/>
      <c r="P40" s="614">
        <f>ROUND(SUM(P39:P39),0)</f>
        <v>0</v>
      </c>
      <c r="Q40" s="500"/>
      <c r="R40" s="614">
        <f>ROUND(SUM(R39:R39),0)</f>
        <v>0</v>
      </c>
      <c r="S40" s="500"/>
      <c r="T40" s="614">
        <f>ROUND(SUM(T39:T39),0)</f>
        <v>0</v>
      </c>
      <c r="U40" s="500"/>
      <c r="V40" s="614">
        <f>ROUND(SUM(V39:V39),0)</f>
        <v>0</v>
      </c>
      <c r="W40" s="500"/>
      <c r="X40" s="614">
        <f>ROUND(SUM(X39:X39),0)</f>
        <v>0</v>
      </c>
      <c r="Y40" s="500"/>
      <c r="Z40" s="614">
        <f>ROUND(SUM(Z39:Z39),0)</f>
        <v>0</v>
      </c>
    </row>
    <row r="41" spans="1:28" ht="15" customHeight="1">
      <c r="B41" s="628"/>
      <c r="C41" s="502"/>
      <c r="D41" s="628"/>
      <c r="E41" s="500"/>
      <c r="F41" s="628"/>
      <c r="G41" s="500"/>
      <c r="H41" s="628"/>
      <c r="I41" s="500"/>
      <c r="J41" s="628"/>
      <c r="K41" s="500"/>
      <c r="L41" s="628"/>
      <c r="M41" s="498"/>
      <c r="N41" s="628"/>
      <c r="O41" s="500"/>
      <c r="P41" s="628"/>
      <c r="Q41" s="500"/>
      <c r="R41" s="628"/>
      <c r="S41" s="500"/>
      <c r="T41" s="628"/>
      <c r="U41" s="500"/>
      <c r="V41" s="628"/>
      <c r="W41" s="500"/>
      <c r="X41" s="628"/>
      <c r="Y41" s="500"/>
      <c r="Z41" s="1122"/>
    </row>
    <row r="42" spans="1:28" s="187" customFormat="1" ht="20.25" customHeight="1">
      <c r="A42" s="188" t="s">
        <v>961</v>
      </c>
      <c r="B42" s="1115">
        <f>ROUND(B36+B40,0)</f>
        <v>52615647</v>
      </c>
      <c r="C42" s="189"/>
      <c r="D42" s="1115">
        <f>ROUND(D36+D40,0)</f>
        <v>2568208</v>
      </c>
      <c r="E42" s="189"/>
      <c r="F42" s="1115">
        <f>ROUND(F36+F40,0)</f>
        <v>13110983</v>
      </c>
      <c r="G42" s="189"/>
      <c r="H42" s="1115">
        <f>ROUND(H36+H40,0)</f>
        <v>64243227</v>
      </c>
      <c r="I42" s="189"/>
      <c r="J42" s="1909">
        <f>ROUND(J36+J40,0)</f>
        <v>73048628</v>
      </c>
      <c r="K42" s="189"/>
      <c r="L42" s="1115">
        <f>ROUND(L36+L40,0)</f>
        <v>107184791</v>
      </c>
      <c r="M42" s="184"/>
      <c r="N42" s="1115">
        <f>ROUND(N36+N40,0)</f>
        <v>22843507</v>
      </c>
      <c r="O42" s="189"/>
      <c r="P42" s="1115">
        <f>ROUND(P36+P40,0)</f>
        <v>10080078</v>
      </c>
      <c r="Q42" s="189"/>
      <c r="R42" s="1115">
        <f>ROUND(R36+R40,0)</f>
        <v>79397907</v>
      </c>
      <c r="S42" s="189"/>
      <c r="T42" s="1115">
        <f>ROUND(T36+T40,0)</f>
        <v>5514110</v>
      </c>
      <c r="U42" s="189"/>
      <c r="V42" s="1115">
        <f>ROUND(V36+V40,0)</f>
        <v>27697578</v>
      </c>
      <c r="W42" s="189"/>
      <c r="X42" s="1115">
        <f>ROUND(X36+X40,0)</f>
        <v>0</v>
      </c>
      <c r="Y42" s="189"/>
      <c r="Z42" s="1115">
        <f>ROUND(Z36+Z40,0)</f>
        <v>458304664</v>
      </c>
      <c r="AB42" s="120"/>
    </row>
    <row r="43" spans="1:28" ht="15" customHeight="1">
      <c r="A43" s="497"/>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506"/>
    </row>
    <row r="44" spans="1:28" s="187" customFormat="1" ht="20.25" customHeight="1" thickBot="1">
      <c r="A44" s="190" t="s">
        <v>962</v>
      </c>
      <c r="B44" s="840">
        <f>ROUND(B12+B17-B42,0)</f>
        <v>66528477</v>
      </c>
      <c r="C44" s="186"/>
      <c r="D44" s="840">
        <f>ROUND(D12+D17-D42,0)</f>
        <v>63960269</v>
      </c>
      <c r="E44" s="496"/>
      <c r="F44" s="840">
        <f>ROUND(F12+F17-F42,0)</f>
        <v>100849286</v>
      </c>
      <c r="G44" s="496"/>
      <c r="H44" s="840">
        <f>ROUND(H12+H17-H42,0)</f>
        <v>96606059</v>
      </c>
      <c r="I44" s="969"/>
      <c r="J44" s="1910">
        <f>ROUND(J12+J17-J42,0)</f>
        <v>73557431</v>
      </c>
      <c r="K44" s="970"/>
      <c r="L44" s="840">
        <f>ROUND(L12+L17-L42,0)</f>
        <v>26372640</v>
      </c>
      <c r="M44" s="971"/>
      <c r="N44" s="840">
        <f>ROUND(N12+N17-N42,0)</f>
        <v>53529133</v>
      </c>
      <c r="O44" s="970"/>
      <c r="P44" s="840">
        <f>ROUND(P12+P17-P42,0)</f>
        <v>43449055</v>
      </c>
      <c r="Q44" s="970"/>
      <c r="R44" s="840">
        <f>ROUND(R12+R17-R42,0)</f>
        <v>14051148</v>
      </c>
      <c r="S44" s="970"/>
      <c r="T44" s="840">
        <f>ROUND(T12+T17-T42,0)</f>
        <v>58537038</v>
      </c>
      <c r="U44" s="970"/>
      <c r="V44" s="840">
        <f>ROUND(V12+V17-V42,0)</f>
        <v>80839460</v>
      </c>
      <c r="W44" s="970"/>
      <c r="X44" s="840">
        <f>ROUND(X12+X17-X42,0)</f>
        <v>0</v>
      </c>
      <c r="Y44" s="970"/>
      <c r="Z44" s="1123">
        <f>ROUND(Z12+Z17-Z42,0)</f>
        <v>80839460</v>
      </c>
    </row>
    <row r="45" spans="1:28" ht="15" customHeight="1" thickTop="1">
      <c r="A45" s="497"/>
      <c r="B45" s="494"/>
      <c r="C45" s="494"/>
      <c r="D45" s="494"/>
      <c r="E45" s="495"/>
      <c r="F45" s="494"/>
      <c r="G45" s="495"/>
      <c r="H45" s="494"/>
      <c r="I45" s="495"/>
      <c r="J45" s="494"/>
      <c r="K45" s="494"/>
      <c r="L45" s="494"/>
      <c r="M45" s="495"/>
      <c r="N45" s="494"/>
      <c r="O45" s="495"/>
      <c r="P45" s="494"/>
      <c r="Q45" s="495"/>
      <c r="R45" s="494"/>
      <c r="S45" s="495"/>
      <c r="T45" s="494"/>
      <c r="U45" s="495"/>
      <c r="V45" s="494"/>
      <c r="W45" s="495"/>
      <c r="X45" s="494"/>
      <c r="Y45" s="495"/>
      <c r="Z45" s="506"/>
    </row>
    <row r="46" spans="1:28" ht="20.149999999999999" customHeight="1">
      <c r="A46" s="191"/>
      <c r="B46" s="494"/>
      <c r="C46" s="494"/>
      <c r="D46" s="494"/>
      <c r="E46" s="495"/>
      <c r="F46" s="494"/>
      <c r="G46" s="495"/>
      <c r="H46" s="494"/>
      <c r="I46" s="495"/>
      <c r="J46" s="494"/>
      <c r="K46" s="494"/>
      <c r="L46" s="494"/>
      <c r="M46" s="495"/>
      <c r="N46" s="494"/>
      <c r="O46" s="495"/>
      <c r="P46" s="494"/>
      <c r="Q46" s="495"/>
      <c r="R46" s="494"/>
      <c r="S46" s="495"/>
      <c r="T46" s="494"/>
      <c r="U46" s="495"/>
      <c r="V46" s="494"/>
      <c r="W46" s="495"/>
      <c r="X46" s="494"/>
      <c r="Y46" s="495"/>
      <c r="Z46" s="499"/>
    </row>
    <row r="47" spans="1:28">
      <c r="L47" s="575" t="s">
        <v>103</v>
      </c>
    </row>
    <row r="48" spans="1:28" ht="18" customHeight="1">
      <c r="A48" s="577" t="s">
        <v>1367</v>
      </c>
      <c r="B48" s="490"/>
      <c r="C48" s="490"/>
      <c r="D48" s="490"/>
      <c r="E48" s="171"/>
      <c r="F48" s="490"/>
      <c r="G48" s="171"/>
      <c r="H48" s="490"/>
      <c r="I48" s="171"/>
      <c r="J48" s="490"/>
      <c r="K48" s="490"/>
      <c r="L48" s="490"/>
      <c r="M48" s="495"/>
      <c r="N48" s="490" t="s">
        <v>103</v>
      </c>
      <c r="O48" s="171"/>
      <c r="P48" s="490"/>
      <c r="Q48" s="171"/>
      <c r="R48" s="490"/>
      <c r="S48" s="171"/>
      <c r="T48" s="490"/>
      <c r="U48" s="171"/>
      <c r="V48" s="490"/>
      <c r="W48" s="171"/>
      <c r="X48" s="490"/>
      <c r="Y48" s="171"/>
      <c r="Z48" s="491"/>
    </row>
    <row r="49" spans="1:26" ht="20.149999999999999" customHeight="1">
      <c r="A49" s="576" t="s">
        <v>1368</v>
      </c>
      <c r="B49" s="494"/>
      <c r="C49" s="494"/>
      <c r="D49" s="494"/>
      <c r="E49" s="495"/>
      <c r="F49" s="494"/>
      <c r="G49" s="495"/>
      <c r="H49" s="494"/>
      <c r="I49" s="495"/>
      <c r="J49" s="494"/>
      <c r="K49" s="494"/>
      <c r="L49" s="494"/>
      <c r="M49" s="495"/>
      <c r="N49" s="494" t="s">
        <v>103</v>
      </c>
      <c r="O49" s="495"/>
      <c r="P49" s="494"/>
      <c r="Q49" s="495"/>
      <c r="R49" s="494"/>
      <c r="S49" s="495"/>
      <c r="T49" s="494"/>
      <c r="U49" s="495"/>
      <c r="V49" s="494"/>
      <c r="W49" s="495"/>
      <c r="X49" s="494"/>
      <c r="Y49" s="495"/>
      <c r="Z49" s="499"/>
    </row>
    <row r="50" spans="1:26" ht="20.149999999999999" customHeight="1">
      <c r="A50" s="576"/>
      <c r="B50" s="494"/>
      <c r="C50" s="494"/>
      <c r="D50" s="494"/>
      <c r="E50" s="495"/>
      <c r="F50" s="494"/>
      <c r="G50" s="495"/>
      <c r="H50" s="494"/>
      <c r="I50" s="495"/>
      <c r="J50" s="494"/>
      <c r="K50" s="494"/>
      <c r="L50" s="494"/>
      <c r="M50" s="495"/>
      <c r="N50" s="494" t="s">
        <v>103</v>
      </c>
      <c r="O50" s="495"/>
      <c r="P50" s="494"/>
      <c r="Q50" s="495"/>
      <c r="R50" s="494"/>
      <c r="S50" s="495"/>
      <c r="T50" s="494"/>
      <c r="U50" s="495"/>
      <c r="V50" s="494"/>
      <c r="W50" s="495"/>
      <c r="X50" s="494"/>
      <c r="Y50" s="495"/>
      <c r="Z50" s="499"/>
    </row>
    <row r="51" spans="1:26" ht="20.149999999999999" customHeight="1">
      <c r="A51" s="576"/>
      <c r="B51" s="170"/>
      <c r="C51" s="170"/>
      <c r="D51" s="170"/>
      <c r="E51" s="171"/>
      <c r="F51" s="170"/>
      <c r="G51" s="171"/>
      <c r="H51" s="170"/>
      <c r="I51" s="171"/>
      <c r="J51" s="170"/>
      <c r="K51" s="170"/>
      <c r="L51" s="170"/>
      <c r="M51" s="171"/>
      <c r="N51" s="170"/>
      <c r="O51" s="171"/>
      <c r="P51" s="170"/>
      <c r="Q51" s="171"/>
      <c r="R51" s="170"/>
      <c r="S51" s="171"/>
      <c r="T51" s="170"/>
      <c r="U51" s="171"/>
      <c r="V51" s="170"/>
      <c r="W51" s="171"/>
      <c r="X51" s="170"/>
      <c r="Y51" s="171"/>
      <c r="Z51" s="121"/>
    </row>
    <row r="52" spans="1:26" ht="20.149999999999999" customHeight="1">
      <c r="A52" s="168"/>
      <c r="B52" s="170"/>
      <c r="C52" s="170"/>
      <c r="D52" s="170"/>
      <c r="E52" s="171"/>
      <c r="F52" s="170"/>
      <c r="G52" s="171"/>
      <c r="H52" s="170"/>
      <c r="I52" s="171"/>
      <c r="J52" s="170"/>
      <c r="K52" s="170"/>
      <c r="L52" s="170"/>
      <c r="M52" s="171"/>
      <c r="N52" s="170"/>
      <c r="O52" s="171"/>
      <c r="P52" s="170"/>
      <c r="Q52" s="171"/>
      <c r="R52" s="170"/>
      <c r="S52" s="171"/>
      <c r="T52" s="170"/>
      <c r="U52" s="171"/>
      <c r="V52" s="170"/>
      <c r="W52" s="171"/>
      <c r="X52" s="170"/>
      <c r="Y52" s="171"/>
      <c r="Z52" s="121"/>
    </row>
    <row r="53" spans="1:26" ht="20.149999999999999" customHeight="1">
      <c r="A53" s="168"/>
      <c r="B53" s="170"/>
      <c r="C53" s="170"/>
      <c r="D53" s="170"/>
      <c r="E53" s="171"/>
      <c r="F53" s="170"/>
      <c r="G53" s="171"/>
      <c r="H53" s="170"/>
      <c r="I53" s="171"/>
      <c r="J53" s="170"/>
      <c r="K53" s="170"/>
      <c r="L53" s="170"/>
      <c r="M53" s="171"/>
      <c r="N53" s="170"/>
      <c r="O53" s="171"/>
      <c r="P53" s="170"/>
      <c r="Q53" s="171"/>
      <c r="R53" s="170"/>
      <c r="S53" s="171"/>
      <c r="T53" s="170"/>
      <c r="U53" s="171"/>
      <c r="V53" s="170"/>
      <c r="W53" s="171"/>
      <c r="X53" s="170"/>
      <c r="Y53" s="171"/>
      <c r="Z53" s="121"/>
    </row>
    <row r="54" spans="1:26" ht="20.149999999999999" customHeight="1">
      <c r="A54" s="168"/>
      <c r="B54" s="170"/>
      <c r="C54" s="170"/>
      <c r="D54" s="170"/>
      <c r="E54" s="171"/>
      <c r="F54" s="170"/>
      <c r="G54" s="171"/>
      <c r="H54" s="170"/>
      <c r="I54" s="171"/>
      <c r="J54" s="170"/>
      <c r="K54" s="170"/>
      <c r="L54" s="170"/>
      <c r="M54" s="171"/>
      <c r="N54" s="170"/>
      <c r="O54" s="171"/>
      <c r="P54" s="170"/>
      <c r="Q54" s="171"/>
      <c r="R54" s="170"/>
      <c r="S54" s="171"/>
      <c r="T54" s="170"/>
      <c r="U54" s="171"/>
      <c r="V54" s="170"/>
      <c r="W54" s="171"/>
      <c r="X54" s="170"/>
      <c r="Y54" s="171"/>
      <c r="Z54" s="121"/>
    </row>
    <row r="55" spans="1:26" ht="20.149999999999999" customHeight="1">
      <c r="A55" s="168"/>
      <c r="B55" s="170"/>
      <c r="C55" s="170"/>
      <c r="D55" s="170"/>
      <c r="E55" s="171"/>
      <c r="F55" s="170"/>
      <c r="G55" s="171"/>
      <c r="H55" s="170"/>
      <c r="I55" s="171"/>
      <c r="J55" s="170"/>
      <c r="K55" s="170"/>
      <c r="L55" s="170"/>
      <c r="M55" s="171"/>
      <c r="N55" s="170"/>
      <c r="O55" s="171"/>
      <c r="P55" s="170"/>
      <c r="Q55" s="171"/>
      <c r="R55" s="170"/>
      <c r="S55" s="171"/>
      <c r="T55" s="170"/>
      <c r="U55" s="171"/>
      <c r="V55" s="170"/>
      <c r="W55" s="171"/>
      <c r="X55" s="170"/>
      <c r="Y55" s="171"/>
      <c r="Z55" s="121"/>
    </row>
    <row r="56" spans="1:26">
      <c r="A56" s="168"/>
      <c r="B56" s="170"/>
      <c r="C56" s="170"/>
      <c r="D56" s="170"/>
      <c r="E56" s="171"/>
      <c r="F56" s="170"/>
      <c r="G56" s="171"/>
      <c r="H56" s="170"/>
      <c r="I56" s="171"/>
      <c r="J56" s="170"/>
      <c r="K56" s="170"/>
      <c r="L56" s="170"/>
      <c r="M56" s="171"/>
      <c r="N56" s="170"/>
      <c r="O56" s="171"/>
      <c r="P56" s="170"/>
      <c r="Q56" s="171"/>
      <c r="R56" s="170"/>
      <c r="S56" s="171"/>
      <c r="T56" s="170"/>
      <c r="U56" s="171"/>
      <c r="V56" s="170"/>
      <c r="W56" s="171"/>
      <c r="X56" s="170"/>
      <c r="Y56" s="171"/>
      <c r="Z56" s="121"/>
    </row>
    <row r="57" spans="1:26">
      <c r="A57" s="168"/>
      <c r="B57" s="170"/>
      <c r="C57" s="170"/>
      <c r="D57" s="170"/>
      <c r="E57" s="171"/>
      <c r="F57" s="170"/>
      <c r="G57" s="171"/>
      <c r="H57" s="170"/>
      <c r="I57" s="171"/>
      <c r="J57" s="170"/>
      <c r="K57" s="170"/>
      <c r="L57" s="170"/>
      <c r="M57" s="171"/>
      <c r="N57" s="170"/>
      <c r="O57" s="171"/>
      <c r="P57" s="170"/>
      <c r="Q57" s="171"/>
      <c r="R57" s="170"/>
      <c r="S57" s="171"/>
      <c r="T57" s="170"/>
      <c r="U57" s="171"/>
      <c r="V57" s="170"/>
      <c r="W57" s="171"/>
      <c r="X57" s="170"/>
      <c r="Y57" s="171"/>
      <c r="Z57" s="121"/>
    </row>
    <row r="58" spans="1:26">
      <c r="A58" s="168"/>
      <c r="B58" s="170"/>
      <c r="C58" s="170"/>
      <c r="D58" s="170"/>
      <c r="E58" s="171"/>
      <c r="F58" s="170"/>
      <c r="G58" s="171"/>
      <c r="H58" s="170"/>
      <c r="I58" s="171"/>
      <c r="J58" s="170"/>
      <c r="K58" s="170"/>
      <c r="L58" s="170"/>
      <c r="M58" s="171"/>
      <c r="N58" s="170"/>
      <c r="O58" s="171"/>
      <c r="P58" s="170"/>
      <c r="Q58" s="171"/>
      <c r="R58" s="170"/>
      <c r="S58" s="171"/>
      <c r="T58" s="170"/>
      <c r="U58" s="171"/>
      <c r="V58" s="170"/>
      <c r="W58" s="171"/>
      <c r="X58" s="170"/>
      <c r="Y58" s="171"/>
      <c r="Z58" s="121"/>
    </row>
    <row r="59" spans="1:26">
      <c r="A59" s="168"/>
      <c r="B59" s="170"/>
      <c r="C59" s="170"/>
      <c r="D59" s="170"/>
      <c r="E59" s="171"/>
      <c r="F59" s="170"/>
      <c r="G59" s="171"/>
      <c r="H59" s="170"/>
      <c r="I59" s="171"/>
      <c r="J59" s="170"/>
      <c r="K59" s="170"/>
      <c r="L59" s="170"/>
      <c r="M59" s="171"/>
      <c r="N59" s="170"/>
      <c r="O59" s="171"/>
      <c r="P59" s="170"/>
      <c r="Q59" s="171"/>
      <c r="R59" s="170"/>
      <c r="S59" s="171"/>
      <c r="T59" s="170"/>
      <c r="U59" s="171"/>
      <c r="V59" s="170"/>
      <c r="W59" s="171"/>
      <c r="X59" s="170"/>
      <c r="Y59" s="171"/>
      <c r="Z59" s="121"/>
    </row>
    <row r="60" spans="1:26">
      <c r="A60" s="168"/>
      <c r="B60" s="170"/>
      <c r="C60" s="170"/>
      <c r="D60" s="170"/>
      <c r="E60" s="171"/>
      <c r="F60" s="170"/>
      <c r="G60" s="171"/>
      <c r="H60" s="170"/>
      <c r="I60" s="171"/>
      <c r="J60" s="170"/>
      <c r="K60" s="170"/>
      <c r="L60" s="170"/>
      <c r="M60" s="171"/>
      <c r="N60" s="170"/>
      <c r="O60" s="171"/>
      <c r="P60" s="170"/>
      <c r="Q60" s="171"/>
      <c r="R60" s="170"/>
      <c r="S60" s="171"/>
      <c r="T60" s="170"/>
      <c r="U60" s="171"/>
      <c r="V60" s="170"/>
      <c r="W60" s="171"/>
      <c r="X60" s="170"/>
      <c r="Y60" s="171"/>
      <c r="Z60" s="121"/>
    </row>
    <row r="61" spans="1:26">
      <c r="A61" s="168"/>
      <c r="B61" s="170"/>
      <c r="C61" s="170"/>
      <c r="D61" s="170"/>
      <c r="E61" s="171"/>
      <c r="F61" s="170"/>
      <c r="G61" s="171"/>
      <c r="H61" s="170"/>
      <c r="I61" s="171"/>
      <c r="J61" s="170"/>
      <c r="K61" s="170"/>
      <c r="L61" s="170"/>
      <c r="M61" s="171"/>
      <c r="N61" s="170"/>
      <c r="O61" s="171"/>
      <c r="P61" s="170"/>
      <c r="Q61" s="171"/>
      <c r="R61" s="170"/>
      <c r="S61" s="171"/>
      <c r="T61" s="170"/>
      <c r="U61" s="171"/>
      <c r="V61" s="170"/>
      <c r="W61" s="171"/>
      <c r="X61" s="170"/>
      <c r="Y61" s="171"/>
      <c r="Z61" s="121"/>
    </row>
    <row r="62" spans="1:26">
      <c r="A62" s="168"/>
      <c r="B62" s="170"/>
      <c r="C62" s="170"/>
      <c r="D62" s="170"/>
      <c r="E62" s="171"/>
      <c r="F62" s="170"/>
      <c r="G62" s="171"/>
      <c r="H62" s="170"/>
      <c r="I62" s="171"/>
      <c r="J62" s="170"/>
      <c r="K62" s="170"/>
      <c r="L62" s="170"/>
      <c r="M62" s="171"/>
      <c r="N62" s="170"/>
      <c r="O62" s="171"/>
      <c r="P62" s="170"/>
      <c r="Q62" s="171"/>
      <c r="R62" s="170"/>
      <c r="S62" s="171"/>
      <c r="T62" s="170"/>
      <c r="U62" s="171"/>
      <c r="V62" s="170"/>
      <c r="W62" s="171"/>
      <c r="X62" s="170"/>
      <c r="Y62" s="171"/>
      <c r="Z62" s="121"/>
    </row>
    <row r="63" spans="1:26">
      <c r="A63" s="168"/>
      <c r="B63" s="170"/>
      <c r="C63" s="170"/>
      <c r="D63" s="170"/>
      <c r="E63" s="171"/>
      <c r="F63" s="170"/>
      <c r="G63" s="171"/>
      <c r="H63" s="170"/>
      <c r="I63" s="171"/>
      <c r="J63" s="170"/>
      <c r="K63" s="170"/>
      <c r="L63" s="170"/>
      <c r="M63" s="171"/>
      <c r="N63" s="170"/>
      <c r="O63" s="171"/>
      <c r="P63" s="170"/>
      <c r="Q63" s="171"/>
      <c r="R63" s="170"/>
      <c r="S63" s="171"/>
      <c r="T63" s="170"/>
      <c r="U63" s="171"/>
      <c r="V63" s="170"/>
      <c r="W63" s="171"/>
      <c r="X63" s="170"/>
      <c r="Y63" s="171"/>
      <c r="Z63" s="121"/>
    </row>
    <row r="64" spans="1:26">
      <c r="A64" s="168"/>
      <c r="B64" s="170"/>
      <c r="C64" s="170"/>
      <c r="D64" s="170"/>
      <c r="E64" s="171"/>
      <c r="F64" s="170"/>
      <c r="G64" s="171"/>
      <c r="H64" s="170"/>
      <c r="I64" s="171"/>
      <c r="J64" s="170"/>
      <c r="K64" s="170"/>
      <c r="L64" s="170"/>
      <c r="M64" s="171"/>
      <c r="N64" s="170"/>
      <c r="O64" s="171"/>
      <c r="P64" s="170"/>
      <c r="Q64" s="171"/>
      <c r="R64" s="170"/>
      <c r="S64" s="171"/>
      <c r="T64" s="170"/>
      <c r="U64" s="171"/>
      <c r="V64" s="170"/>
      <c r="W64" s="171"/>
      <c r="X64" s="170"/>
      <c r="Y64" s="171"/>
      <c r="Z64" s="121"/>
    </row>
    <row r="65" spans="1:26">
      <c r="A65" s="168"/>
      <c r="B65" s="170"/>
      <c r="C65" s="170"/>
      <c r="D65" s="170"/>
      <c r="E65" s="171"/>
      <c r="F65" s="170"/>
      <c r="G65" s="171"/>
      <c r="H65" s="170"/>
      <c r="I65" s="171"/>
      <c r="J65" s="170"/>
      <c r="K65" s="170"/>
      <c r="L65" s="170"/>
      <c r="M65" s="171"/>
      <c r="N65" s="170"/>
      <c r="O65" s="171"/>
      <c r="P65" s="170"/>
      <c r="Q65" s="171"/>
      <c r="R65" s="170"/>
      <c r="S65" s="171"/>
      <c r="T65" s="170"/>
      <c r="U65" s="171"/>
      <c r="V65" s="170"/>
      <c r="W65" s="171"/>
      <c r="X65" s="170"/>
      <c r="Y65" s="171"/>
      <c r="Z65" s="121"/>
    </row>
    <row r="66" spans="1:26">
      <c r="A66" s="168"/>
      <c r="B66" s="170"/>
      <c r="C66" s="170"/>
      <c r="D66" s="170"/>
      <c r="E66" s="171"/>
      <c r="F66" s="170"/>
      <c r="G66" s="171"/>
      <c r="H66" s="170"/>
      <c r="I66" s="171"/>
      <c r="J66" s="170"/>
      <c r="K66" s="170"/>
      <c r="L66" s="170"/>
      <c r="M66" s="171"/>
      <c r="N66" s="170"/>
      <c r="O66" s="171"/>
      <c r="P66" s="170"/>
      <c r="Q66" s="171"/>
      <c r="R66" s="170"/>
      <c r="S66" s="171"/>
      <c r="T66" s="170"/>
      <c r="U66" s="171"/>
      <c r="V66" s="170"/>
      <c r="W66" s="171"/>
      <c r="X66" s="170"/>
      <c r="Y66" s="171"/>
      <c r="Z66" s="121"/>
    </row>
    <row r="67" spans="1:26">
      <c r="A67" s="168"/>
      <c r="B67" s="170"/>
      <c r="C67" s="170"/>
      <c r="D67" s="170"/>
      <c r="E67" s="171"/>
      <c r="F67" s="170"/>
      <c r="G67" s="171"/>
      <c r="H67" s="170"/>
      <c r="I67" s="171"/>
      <c r="J67" s="170"/>
      <c r="K67" s="170"/>
      <c r="L67" s="170"/>
      <c r="M67" s="171"/>
      <c r="N67" s="170"/>
      <c r="O67" s="171"/>
      <c r="P67" s="170"/>
      <c r="Q67" s="171"/>
      <c r="R67" s="170"/>
      <c r="S67" s="171"/>
      <c r="T67" s="170"/>
      <c r="U67" s="171"/>
      <c r="V67" s="170"/>
      <c r="W67" s="171"/>
      <c r="X67" s="170"/>
      <c r="Y67" s="171"/>
      <c r="Z67" s="121"/>
    </row>
    <row r="68" spans="1:26">
      <c r="A68" s="168"/>
      <c r="B68" s="170"/>
      <c r="C68" s="170"/>
      <c r="D68" s="170"/>
      <c r="E68" s="171"/>
      <c r="F68" s="170"/>
      <c r="G68" s="171"/>
      <c r="H68" s="170"/>
      <c r="I68" s="171"/>
      <c r="J68" s="170"/>
      <c r="K68" s="170"/>
      <c r="L68" s="170"/>
      <c r="M68" s="171"/>
      <c r="N68" s="170"/>
      <c r="O68" s="171"/>
      <c r="P68" s="170"/>
      <c r="Q68" s="171"/>
      <c r="R68" s="170"/>
      <c r="S68" s="171"/>
      <c r="T68" s="170"/>
      <c r="U68" s="171"/>
      <c r="V68" s="170"/>
      <c r="W68" s="171"/>
      <c r="X68" s="170"/>
      <c r="Y68" s="171"/>
      <c r="Z68" s="121"/>
    </row>
    <row r="69" spans="1:26">
      <c r="A69" s="168"/>
      <c r="B69" s="170"/>
      <c r="C69" s="170"/>
      <c r="D69" s="170"/>
      <c r="E69" s="171"/>
      <c r="F69" s="170"/>
      <c r="G69" s="171"/>
      <c r="H69" s="170"/>
      <c r="I69" s="171"/>
      <c r="J69" s="170"/>
      <c r="K69" s="170"/>
      <c r="L69" s="170"/>
      <c r="M69" s="171"/>
      <c r="N69" s="170"/>
      <c r="O69" s="171"/>
      <c r="P69" s="170"/>
      <c r="Q69" s="171"/>
      <c r="R69" s="170"/>
      <c r="S69" s="171"/>
      <c r="T69" s="170"/>
      <c r="U69" s="171"/>
      <c r="V69" s="170"/>
      <c r="W69" s="171"/>
      <c r="X69" s="170"/>
      <c r="Y69" s="171"/>
      <c r="Z69" s="121"/>
    </row>
    <row r="70" spans="1:26">
      <c r="A70" s="168"/>
      <c r="B70" s="170"/>
      <c r="C70" s="170"/>
      <c r="D70" s="170"/>
      <c r="E70" s="171"/>
      <c r="F70" s="170"/>
      <c r="G70" s="171"/>
      <c r="H70" s="170"/>
      <c r="I70" s="171"/>
      <c r="J70" s="170"/>
      <c r="K70" s="170"/>
      <c r="L70" s="170"/>
      <c r="M70" s="171"/>
      <c r="N70" s="170"/>
      <c r="O70" s="171"/>
      <c r="P70" s="170"/>
      <c r="Q70" s="171"/>
      <c r="R70" s="170"/>
      <c r="S70" s="171"/>
      <c r="T70" s="170"/>
      <c r="U70" s="171"/>
      <c r="V70" s="170"/>
      <c r="W70" s="171"/>
      <c r="X70" s="170"/>
      <c r="Y70" s="171"/>
      <c r="Z70" s="121"/>
    </row>
    <row r="71" spans="1:26">
      <c r="A71" s="168"/>
      <c r="B71" s="170"/>
      <c r="C71" s="170"/>
      <c r="D71" s="170"/>
      <c r="E71" s="171"/>
      <c r="F71" s="170"/>
      <c r="G71" s="171"/>
      <c r="H71" s="170"/>
      <c r="I71" s="171"/>
      <c r="J71" s="170"/>
      <c r="K71" s="170"/>
      <c r="L71" s="170"/>
      <c r="M71" s="171"/>
      <c r="N71" s="170"/>
      <c r="O71" s="171"/>
      <c r="P71" s="170"/>
      <c r="Q71" s="171"/>
      <c r="R71" s="170"/>
      <c r="S71" s="171"/>
      <c r="T71" s="170"/>
      <c r="U71" s="171"/>
      <c r="V71" s="170"/>
      <c r="W71" s="171"/>
      <c r="X71" s="170"/>
      <c r="Y71" s="171"/>
      <c r="Z71" s="121"/>
    </row>
    <row r="72" spans="1:26">
      <c r="A72" s="168"/>
      <c r="B72" s="170"/>
      <c r="C72" s="170"/>
      <c r="D72" s="170"/>
      <c r="E72" s="171"/>
      <c r="F72" s="170"/>
      <c r="G72" s="171"/>
      <c r="H72" s="170"/>
      <c r="I72" s="171"/>
      <c r="J72" s="170"/>
      <c r="K72" s="170"/>
      <c r="L72" s="170"/>
      <c r="M72" s="171"/>
      <c r="N72" s="170"/>
      <c r="O72" s="171"/>
      <c r="P72" s="170"/>
      <c r="Q72" s="171"/>
      <c r="R72" s="170"/>
      <c r="S72" s="171"/>
      <c r="T72" s="170"/>
      <c r="U72" s="171"/>
      <c r="V72" s="170"/>
      <c r="W72" s="171"/>
      <c r="X72" s="170"/>
      <c r="Y72" s="171"/>
      <c r="Z72" s="121"/>
    </row>
    <row r="73" spans="1:26">
      <c r="A73" s="168"/>
      <c r="B73" s="170"/>
      <c r="C73" s="170"/>
      <c r="D73" s="170"/>
      <c r="E73" s="171"/>
      <c r="F73" s="170"/>
      <c r="G73" s="171"/>
      <c r="H73" s="170"/>
      <c r="I73" s="171"/>
      <c r="J73" s="170"/>
      <c r="K73" s="170"/>
      <c r="L73" s="170"/>
      <c r="M73" s="171"/>
      <c r="N73" s="170"/>
      <c r="O73" s="171"/>
      <c r="P73" s="170"/>
      <c r="Q73" s="171"/>
      <c r="R73" s="170"/>
      <c r="S73" s="171"/>
      <c r="T73" s="170"/>
      <c r="U73" s="171"/>
      <c r="V73" s="170"/>
      <c r="W73" s="171"/>
      <c r="X73" s="170"/>
      <c r="Y73" s="171"/>
      <c r="Z73" s="121"/>
    </row>
    <row r="74" spans="1:26">
      <c r="A74" s="168"/>
      <c r="B74" s="170"/>
      <c r="C74" s="170"/>
      <c r="D74" s="170"/>
      <c r="E74" s="171"/>
      <c r="F74" s="170"/>
      <c r="G74" s="171"/>
      <c r="H74" s="170"/>
      <c r="I74" s="171"/>
      <c r="J74" s="170"/>
      <c r="K74" s="170"/>
      <c r="L74" s="170"/>
      <c r="M74" s="171"/>
      <c r="N74" s="170"/>
      <c r="O74" s="171"/>
      <c r="P74" s="170"/>
      <c r="Q74" s="171"/>
      <c r="R74" s="170"/>
      <c r="S74" s="171"/>
      <c r="T74" s="170"/>
      <c r="U74" s="171"/>
      <c r="V74" s="170"/>
      <c r="W74" s="171"/>
      <c r="X74" s="170"/>
      <c r="Y74" s="171"/>
      <c r="Z74" s="121"/>
    </row>
    <row r="75" spans="1:26">
      <c r="A75" s="168"/>
      <c r="B75" s="170"/>
      <c r="C75" s="170"/>
      <c r="D75" s="170"/>
      <c r="E75" s="171"/>
      <c r="F75" s="170"/>
      <c r="G75" s="171"/>
      <c r="H75" s="170"/>
      <c r="I75" s="171"/>
      <c r="J75" s="170"/>
      <c r="K75" s="170"/>
      <c r="L75" s="170"/>
      <c r="M75" s="171"/>
      <c r="N75" s="170"/>
      <c r="O75" s="171"/>
      <c r="P75" s="170"/>
      <c r="Q75" s="171"/>
      <c r="R75" s="170"/>
      <c r="S75" s="171"/>
      <c r="T75" s="170"/>
      <c r="U75" s="171"/>
      <c r="V75" s="170"/>
      <c r="W75" s="171"/>
      <c r="X75" s="170"/>
      <c r="Y75" s="171"/>
      <c r="Z75" s="121"/>
    </row>
    <row r="76" spans="1:26">
      <c r="A76" s="168"/>
      <c r="B76" s="170"/>
      <c r="C76" s="170"/>
      <c r="D76" s="170"/>
      <c r="E76" s="171"/>
      <c r="F76" s="170"/>
      <c r="G76" s="171"/>
      <c r="H76" s="170"/>
      <c r="I76" s="171"/>
      <c r="J76" s="170"/>
      <c r="K76" s="170"/>
      <c r="L76" s="170"/>
      <c r="M76" s="171"/>
      <c r="N76" s="170"/>
      <c r="O76" s="171"/>
      <c r="P76" s="170"/>
      <c r="Q76" s="171"/>
      <c r="R76" s="170"/>
      <c r="S76" s="171"/>
      <c r="T76" s="170"/>
      <c r="U76" s="171"/>
      <c r="V76" s="170"/>
      <c r="W76" s="171"/>
      <c r="X76" s="170"/>
      <c r="Y76" s="171"/>
      <c r="Z76" s="121"/>
    </row>
    <row r="77" spans="1:26">
      <c r="A77" s="168"/>
      <c r="B77" s="170"/>
      <c r="C77" s="170"/>
      <c r="D77" s="170"/>
      <c r="E77" s="171"/>
      <c r="F77" s="170"/>
      <c r="G77" s="171"/>
      <c r="H77" s="170"/>
      <c r="I77" s="171"/>
      <c r="J77" s="170"/>
      <c r="K77" s="170"/>
      <c r="L77" s="170"/>
      <c r="M77" s="171"/>
      <c r="N77" s="170"/>
      <c r="O77" s="171"/>
      <c r="P77" s="170"/>
      <c r="Q77" s="171"/>
      <c r="R77" s="170"/>
      <c r="S77" s="171"/>
      <c r="T77" s="170"/>
      <c r="U77" s="171"/>
      <c r="V77" s="170"/>
      <c r="W77" s="171"/>
      <c r="X77" s="170"/>
      <c r="Y77" s="171"/>
      <c r="Z77" s="121"/>
    </row>
    <row r="78" spans="1:26">
      <c r="A78" s="168"/>
      <c r="B78" s="170"/>
      <c r="C78" s="170"/>
      <c r="D78" s="170"/>
      <c r="E78" s="171"/>
      <c r="F78" s="170"/>
      <c r="G78" s="171"/>
      <c r="H78" s="170"/>
      <c r="I78" s="171"/>
      <c r="J78" s="170"/>
      <c r="K78" s="170"/>
      <c r="L78" s="170"/>
      <c r="M78" s="171"/>
      <c r="N78" s="170"/>
      <c r="O78" s="171"/>
      <c r="P78" s="170"/>
      <c r="Q78" s="171"/>
      <c r="R78" s="170"/>
      <c r="S78" s="171"/>
      <c r="T78" s="170"/>
      <c r="U78" s="171"/>
      <c r="V78" s="170"/>
      <c r="W78" s="171"/>
      <c r="X78" s="170"/>
      <c r="Y78" s="171"/>
      <c r="Z78" s="121"/>
    </row>
    <row r="79" spans="1:26">
      <c r="A79" s="168"/>
      <c r="B79" s="170"/>
      <c r="C79" s="170"/>
      <c r="D79" s="170"/>
      <c r="E79" s="171"/>
      <c r="F79" s="170"/>
      <c r="G79" s="171"/>
      <c r="H79" s="170"/>
      <c r="I79" s="171"/>
      <c r="J79" s="170"/>
      <c r="K79" s="170"/>
      <c r="L79" s="170"/>
      <c r="M79" s="171"/>
      <c r="N79" s="170"/>
      <c r="O79" s="171"/>
      <c r="P79" s="170"/>
      <c r="Q79" s="171"/>
      <c r="R79" s="170"/>
      <c r="S79" s="171"/>
      <c r="T79" s="170"/>
      <c r="U79" s="171"/>
      <c r="V79" s="170"/>
      <c r="W79" s="171"/>
      <c r="X79" s="170"/>
      <c r="Y79" s="171"/>
      <c r="Z79" s="121"/>
    </row>
    <row r="80" spans="1:26">
      <c r="A80" s="168"/>
      <c r="B80" s="170"/>
      <c r="C80" s="170"/>
      <c r="D80" s="170"/>
      <c r="E80" s="171"/>
      <c r="F80" s="170"/>
      <c r="G80" s="171"/>
      <c r="H80" s="170"/>
      <c r="I80" s="171"/>
      <c r="J80" s="170"/>
      <c r="K80" s="170"/>
      <c r="L80" s="170"/>
      <c r="M80" s="171"/>
      <c r="N80" s="170"/>
      <c r="O80" s="171"/>
      <c r="P80" s="170"/>
      <c r="Q80" s="171"/>
      <c r="R80" s="170"/>
      <c r="S80" s="171"/>
      <c r="T80" s="170"/>
      <c r="U80" s="171"/>
      <c r="V80" s="170"/>
      <c r="W80" s="171"/>
      <c r="X80" s="170"/>
      <c r="Y80" s="171"/>
      <c r="Z80" s="121"/>
    </row>
    <row r="81" spans="1:26">
      <c r="A81" s="168"/>
      <c r="B81" s="170"/>
      <c r="C81" s="170"/>
      <c r="D81" s="170"/>
      <c r="E81" s="171"/>
      <c r="F81" s="170"/>
      <c r="G81" s="171"/>
      <c r="H81" s="170"/>
      <c r="I81" s="171"/>
      <c r="J81" s="170"/>
      <c r="K81" s="170"/>
      <c r="L81" s="170"/>
      <c r="M81" s="171"/>
      <c r="N81" s="170"/>
      <c r="O81" s="171"/>
      <c r="P81" s="170"/>
      <c r="Q81" s="171"/>
      <c r="R81" s="170"/>
      <c r="S81" s="171"/>
      <c r="T81" s="170"/>
      <c r="U81" s="171"/>
      <c r="V81" s="170"/>
      <c r="W81" s="171"/>
      <c r="X81" s="170"/>
      <c r="Y81" s="171"/>
      <c r="Z81" s="121"/>
    </row>
    <row r="82" spans="1:26">
      <c r="A82" s="168"/>
      <c r="B82" s="170"/>
      <c r="C82" s="170"/>
      <c r="D82" s="170"/>
      <c r="E82" s="171"/>
      <c r="F82" s="170"/>
      <c r="G82" s="171"/>
      <c r="H82" s="170"/>
      <c r="I82" s="171"/>
      <c r="J82" s="170"/>
      <c r="K82" s="170"/>
      <c r="L82" s="170"/>
      <c r="M82" s="171"/>
      <c r="N82" s="170"/>
      <c r="O82" s="171"/>
      <c r="P82" s="170"/>
      <c r="Q82" s="171"/>
      <c r="R82" s="170"/>
      <c r="S82" s="171"/>
      <c r="T82" s="170"/>
      <c r="U82" s="171"/>
      <c r="V82" s="170"/>
      <c r="W82" s="171"/>
      <c r="X82" s="170"/>
      <c r="Y82" s="171"/>
      <c r="Z82" s="121"/>
    </row>
    <row r="83" spans="1:26">
      <c r="A83" s="168"/>
      <c r="B83" s="170"/>
      <c r="C83" s="170"/>
      <c r="D83" s="170"/>
      <c r="E83" s="171"/>
      <c r="F83" s="170"/>
      <c r="G83" s="171"/>
      <c r="H83" s="170"/>
      <c r="I83" s="171"/>
      <c r="J83" s="170"/>
      <c r="K83" s="170"/>
      <c r="L83" s="170"/>
      <c r="M83" s="171"/>
      <c r="N83" s="170"/>
      <c r="O83" s="171"/>
      <c r="P83" s="170"/>
      <c r="Q83" s="171"/>
      <c r="R83" s="170"/>
      <c r="S83" s="171"/>
      <c r="T83" s="170"/>
      <c r="U83" s="171"/>
      <c r="V83" s="170"/>
      <c r="W83" s="171"/>
      <c r="X83" s="170"/>
      <c r="Y83" s="171"/>
      <c r="Z83" s="121"/>
    </row>
    <row r="84" spans="1:26">
      <c r="A84" s="168"/>
      <c r="B84" s="170"/>
      <c r="C84" s="170"/>
      <c r="D84" s="170"/>
      <c r="E84" s="171"/>
      <c r="F84" s="170"/>
      <c r="G84" s="171"/>
      <c r="H84" s="170"/>
      <c r="I84" s="171"/>
      <c r="J84" s="170"/>
      <c r="K84" s="170"/>
      <c r="L84" s="170"/>
      <c r="M84" s="171"/>
      <c r="N84" s="170"/>
      <c r="O84" s="171"/>
      <c r="P84" s="170"/>
      <c r="Q84" s="171"/>
      <c r="R84" s="170"/>
      <c r="S84" s="171"/>
      <c r="T84" s="170"/>
      <c r="U84" s="171"/>
      <c r="V84" s="170"/>
      <c r="W84" s="171"/>
      <c r="X84" s="170"/>
      <c r="Y84" s="171"/>
      <c r="Z84" s="121"/>
    </row>
    <row r="85" spans="1:26">
      <c r="A85" s="168"/>
      <c r="B85" s="170"/>
      <c r="C85" s="170"/>
      <c r="D85" s="170"/>
      <c r="E85" s="171"/>
      <c r="F85" s="170"/>
      <c r="G85" s="171"/>
      <c r="H85" s="170"/>
      <c r="I85" s="171"/>
      <c r="J85" s="170"/>
      <c r="K85" s="170"/>
      <c r="L85" s="170"/>
      <c r="M85" s="171"/>
      <c r="N85" s="170"/>
      <c r="O85" s="171"/>
      <c r="P85" s="170"/>
      <c r="Q85" s="171"/>
      <c r="R85" s="170"/>
      <c r="S85" s="171"/>
      <c r="T85" s="170"/>
      <c r="U85" s="171"/>
      <c r="V85" s="170"/>
      <c r="W85" s="171"/>
      <c r="X85" s="170"/>
      <c r="Y85" s="171"/>
      <c r="Z85" s="121"/>
    </row>
    <row r="86" spans="1:26">
      <c r="A86" s="168"/>
      <c r="B86" s="170"/>
      <c r="C86" s="170"/>
      <c r="D86" s="170"/>
      <c r="E86" s="171"/>
      <c r="F86" s="170"/>
      <c r="G86" s="171"/>
      <c r="H86" s="170"/>
      <c r="I86" s="171"/>
      <c r="J86" s="170"/>
      <c r="K86" s="170"/>
      <c r="L86" s="170"/>
      <c r="M86" s="171"/>
      <c r="N86" s="170"/>
      <c r="O86" s="171"/>
      <c r="P86" s="170"/>
      <c r="Q86" s="171"/>
      <c r="R86" s="170"/>
      <c r="S86" s="171"/>
      <c r="T86" s="170"/>
      <c r="U86" s="171"/>
      <c r="V86" s="170"/>
      <c r="W86" s="171"/>
      <c r="X86" s="170"/>
      <c r="Y86" s="171"/>
      <c r="Z86" s="121"/>
    </row>
    <row r="87" spans="1:26">
      <c r="A87" s="168"/>
      <c r="B87" s="170"/>
      <c r="C87" s="170"/>
      <c r="D87" s="170"/>
      <c r="E87" s="171"/>
      <c r="F87" s="170"/>
      <c r="G87" s="171"/>
      <c r="H87" s="170"/>
      <c r="I87" s="171"/>
      <c r="J87" s="170"/>
      <c r="K87" s="170"/>
      <c r="L87" s="170"/>
      <c r="M87" s="171"/>
      <c r="N87" s="170"/>
      <c r="O87" s="171"/>
      <c r="P87" s="170"/>
      <c r="Q87" s="171"/>
      <c r="R87" s="170"/>
      <c r="S87" s="171"/>
      <c r="T87" s="170"/>
      <c r="U87" s="171"/>
      <c r="V87" s="170"/>
      <c r="W87" s="171"/>
      <c r="X87" s="170"/>
      <c r="Y87" s="171"/>
      <c r="Z87" s="121"/>
    </row>
    <row r="88" spans="1:26">
      <c r="A88" s="168"/>
      <c r="B88" s="170"/>
      <c r="C88" s="170"/>
      <c r="D88" s="170"/>
      <c r="E88" s="171"/>
      <c r="F88" s="170"/>
      <c r="G88" s="171"/>
      <c r="H88" s="170"/>
      <c r="I88" s="171"/>
      <c r="J88" s="170"/>
      <c r="K88" s="170"/>
      <c r="L88" s="170"/>
      <c r="M88" s="171"/>
      <c r="N88" s="170"/>
      <c r="O88" s="171"/>
      <c r="P88" s="170"/>
      <c r="Q88" s="171"/>
      <c r="R88" s="170"/>
      <c r="S88" s="171"/>
      <c r="T88" s="170"/>
      <c r="U88" s="171"/>
      <c r="V88" s="170"/>
      <c r="W88" s="171"/>
      <c r="X88" s="170"/>
      <c r="Y88" s="171"/>
      <c r="Z88" s="121"/>
    </row>
    <row r="89" spans="1:26">
      <c r="A89" s="168"/>
      <c r="B89" s="170"/>
      <c r="C89" s="170"/>
      <c r="D89" s="170"/>
      <c r="E89" s="171"/>
      <c r="F89" s="170"/>
      <c r="G89" s="171"/>
      <c r="H89" s="170"/>
      <c r="I89" s="171"/>
      <c r="J89" s="170"/>
      <c r="K89" s="170"/>
      <c r="L89" s="170"/>
      <c r="M89" s="171"/>
      <c r="N89" s="170"/>
      <c r="O89" s="171"/>
      <c r="P89" s="170"/>
      <c r="Q89" s="171"/>
      <c r="R89" s="170"/>
      <c r="S89" s="171"/>
      <c r="T89" s="170"/>
      <c r="U89" s="171"/>
      <c r="V89" s="170"/>
      <c r="W89" s="171"/>
      <c r="X89" s="170"/>
      <c r="Y89" s="171"/>
      <c r="Z89" s="121"/>
    </row>
    <row r="90" spans="1:26">
      <c r="A90" s="168"/>
      <c r="B90" s="170"/>
      <c r="C90" s="170"/>
      <c r="D90" s="170"/>
      <c r="E90" s="171"/>
      <c r="F90" s="170"/>
      <c r="G90" s="171"/>
      <c r="H90" s="170"/>
      <c r="I90" s="171"/>
      <c r="J90" s="170"/>
      <c r="K90" s="170"/>
      <c r="L90" s="170"/>
      <c r="M90" s="171"/>
      <c r="N90" s="170"/>
      <c r="O90" s="171"/>
      <c r="P90" s="170"/>
      <c r="Q90" s="171"/>
      <c r="R90" s="170"/>
      <c r="S90" s="171"/>
      <c r="T90" s="170"/>
      <c r="U90" s="171"/>
      <c r="V90" s="170"/>
      <c r="W90" s="171"/>
      <c r="X90" s="170"/>
      <c r="Y90" s="171"/>
      <c r="Z90" s="121"/>
    </row>
    <row r="91" spans="1:26">
      <c r="A91" s="168"/>
      <c r="B91" s="170"/>
      <c r="C91" s="170"/>
      <c r="D91" s="170"/>
      <c r="E91" s="171"/>
      <c r="F91" s="170"/>
      <c r="G91" s="171"/>
      <c r="H91" s="170"/>
      <c r="I91" s="171"/>
      <c r="J91" s="170"/>
      <c r="K91" s="170"/>
      <c r="L91" s="170"/>
      <c r="M91" s="171"/>
      <c r="N91" s="170"/>
      <c r="O91" s="171"/>
      <c r="P91" s="170"/>
      <c r="Q91" s="171"/>
      <c r="R91" s="170"/>
      <c r="S91" s="171"/>
      <c r="T91" s="170"/>
      <c r="U91" s="171"/>
      <c r="V91" s="170"/>
      <c r="W91" s="171"/>
      <c r="X91" s="170"/>
      <c r="Y91" s="171"/>
      <c r="Z91" s="121"/>
    </row>
    <row r="92" spans="1:26">
      <c r="A92" s="168"/>
      <c r="B92" s="170"/>
      <c r="C92" s="170"/>
      <c r="D92" s="170"/>
      <c r="E92" s="171"/>
      <c r="F92" s="170"/>
      <c r="G92" s="171"/>
      <c r="H92" s="170"/>
      <c r="I92" s="171"/>
      <c r="J92" s="170"/>
      <c r="K92" s="170"/>
      <c r="L92" s="170"/>
      <c r="M92" s="171"/>
      <c r="N92" s="170"/>
      <c r="O92" s="171"/>
      <c r="P92" s="170"/>
      <c r="Q92" s="171"/>
      <c r="R92" s="170"/>
      <c r="S92" s="171"/>
      <c r="T92" s="170"/>
      <c r="U92" s="171"/>
      <c r="V92" s="170"/>
      <c r="W92" s="171"/>
      <c r="X92" s="170"/>
      <c r="Y92" s="171"/>
      <c r="Z92" s="121"/>
    </row>
    <row r="93" spans="1:26">
      <c r="A93" s="168"/>
      <c r="B93" s="170"/>
      <c r="C93" s="170"/>
      <c r="D93" s="170"/>
      <c r="E93" s="171"/>
      <c r="F93" s="170"/>
      <c r="G93" s="171"/>
      <c r="H93" s="170"/>
      <c r="I93" s="171"/>
      <c r="J93" s="170"/>
      <c r="K93" s="170"/>
      <c r="L93" s="170"/>
      <c r="M93" s="171"/>
      <c r="N93" s="170"/>
      <c r="O93" s="171"/>
      <c r="P93" s="170"/>
      <c r="Q93" s="171"/>
      <c r="R93" s="170"/>
      <c r="S93" s="171"/>
      <c r="T93" s="170"/>
      <c r="U93" s="171"/>
      <c r="V93" s="170"/>
      <c r="W93" s="171"/>
      <c r="X93" s="170"/>
      <c r="Y93" s="171"/>
      <c r="Z93" s="121"/>
    </row>
  </sheetData>
  <sortState xmlns:xlrd2="http://schemas.microsoft.com/office/spreadsheetml/2017/richdata2" ref="A19:AN27">
    <sortCondition ref="A19:A27"/>
  </sortState>
  <printOptions horizontalCentered="1"/>
  <pageMargins left="0.25" right="0.25" top="0.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O70"/>
  <sheetViews>
    <sheetView showGridLines="0" zoomScale="80" zoomScaleNormal="80" workbookViewId="0"/>
  </sheetViews>
  <sheetFormatPr defaultColWidth="8.69140625" defaultRowHeight="17.25" customHeight="1"/>
  <cols>
    <col min="1" max="1" width="56.23046875" style="1315" customWidth="1"/>
    <col min="2" max="2" width="2.07421875" style="1314" customWidth="1"/>
    <col min="3" max="4" width="24" style="1315" customWidth="1"/>
    <col min="5" max="5" width="24" style="2085" customWidth="1"/>
    <col min="6" max="6" width="2" style="1315" customWidth="1"/>
    <col min="7" max="7" width="24" style="1986" customWidth="1"/>
    <col min="8" max="9" width="24" style="1314" customWidth="1"/>
    <col min="10" max="10" width="17.23046875" style="2013" customWidth="1"/>
    <col min="11" max="11" width="19.07421875" style="1314" customWidth="1"/>
    <col min="12" max="12" width="8.69140625" style="1314"/>
    <col min="13" max="13" width="18.07421875" style="1314" customWidth="1"/>
    <col min="14" max="14" width="16.07421875" style="1314" customWidth="1"/>
    <col min="15" max="16384" width="8.69140625" style="1314"/>
  </cols>
  <sheetData>
    <row r="1" spans="1:15" ht="17.25" customHeight="1">
      <c r="A1" s="275" t="s">
        <v>97</v>
      </c>
    </row>
    <row r="3" spans="1:15" ht="25.4" customHeight="1">
      <c r="A3" s="1317" t="s">
        <v>98</v>
      </c>
      <c r="C3" s="1987"/>
      <c r="D3" s="1987"/>
      <c r="E3" s="2086"/>
      <c r="F3" s="1987"/>
      <c r="H3" s="1988" t="s">
        <v>103</v>
      </c>
      <c r="I3" s="1989" t="s">
        <v>1369</v>
      </c>
    </row>
    <row r="4" spans="1:15" ht="25.4" customHeight="1">
      <c r="A4" s="1317" t="s">
        <v>1370</v>
      </c>
      <c r="C4" s="1987"/>
      <c r="D4" s="1987"/>
      <c r="E4" s="2086"/>
      <c r="F4" s="1987"/>
    </row>
    <row r="5" spans="1:15" ht="21" customHeight="1">
      <c r="A5" s="1318" t="str">
        <f>'Cashflow Governmental'!A6</f>
        <v>FISCAL YEAR 2024-2025</v>
      </c>
      <c r="C5" s="1987"/>
      <c r="D5" s="1987"/>
      <c r="E5" s="2086"/>
      <c r="F5" s="1987"/>
    </row>
    <row r="6" spans="1:15" ht="17.25" customHeight="1">
      <c r="A6" s="1319"/>
      <c r="C6" s="1987"/>
      <c r="D6" s="1987"/>
      <c r="E6" s="2086"/>
      <c r="F6" s="1987"/>
    </row>
    <row r="7" spans="1:15" ht="17.25" customHeight="1">
      <c r="A7" s="1320"/>
      <c r="B7" s="1321"/>
      <c r="C7" s="2144" t="str">
        <f>Footnotes!$O$3</f>
        <v>FEBRUARY 2025</v>
      </c>
      <c r="D7" s="2144"/>
      <c r="E7" s="2144"/>
      <c r="F7" s="1990"/>
      <c r="G7" s="2145" t="str">
        <f>UPPER('Cashflow Governmental'!$AB$12)</f>
        <v>11 MONTHS ENDED FEBRUARY 28</v>
      </c>
      <c r="H7" s="2145"/>
      <c r="I7" s="2145"/>
    </row>
    <row r="8" spans="1:15" ht="17.25" customHeight="1">
      <c r="A8" s="1320"/>
      <c r="B8" s="1321"/>
      <c r="C8" s="1320"/>
      <c r="D8" s="1320"/>
      <c r="E8" s="1320"/>
      <c r="F8" s="1320"/>
      <c r="G8" s="1991"/>
      <c r="H8" s="1321"/>
      <c r="I8" s="1321"/>
    </row>
    <row r="9" spans="1:15" ht="17.25" customHeight="1">
      <c r="A9" s="1322"/>
      <c r="B9" s="1321"/>
      <c r="C9" s="1322" t="s">
        <v>1371</v>
      </c>
      <c r="D9" s="1322" t="s">
        <v>1372</v>
      </c>
      <c r="E9" s="1322" t="str">
        <f>PROPER(_xlfn.TEXTBEFORE(C7," "))</f>
        <v>February</v>
      </c>
      <c r="F9" s="1322"/>
      <c r="G9" s="1322" t="s">
        <v>1371</v>
      </c>
      <c r="H9" s="1322" t="s">
        <v>1372</v>
      </c>
      <c r="I9" s="1992" t="s">
        <v>1373</v>
      </c>
    </row>
    <row r="10" spans="1:15" s="1325" customFormat="1" ht="17.25" customHeight="1">
      <c r="A10" s="955"/>
      <c r="B10" s="1324"/>
      <c r="C10" s="1993"/>
      <c r="D10" s="1993"/>
      <c r="E10" s="1993"/>
      <c r="F10" s="1993"/>
      <c r="G10" s="1994"/>
      <c r="H10" s="1994"/>
      <c r="I10" s="1994"/>
      <c r="J10" s="2090"/>
    </row>
    <row r="11" spans="1:15" s="1328" customFormat="1" ht="17.25" customHeight="1">
      <c r="A11" s="1326" t="s">
        <v>1374</v>
      </c>
      <c r="B11" s="1327"/>
      <c r="C11" s="1290">
        <v>0</v>
      </c>
      <c r="D11" s="1290">
        <v>80074594</v>
      </c>
      <c r="E11" s="1291">
        <f>C11+D11</f>
        <v>80074594</v>
      </c>
      <c r="F11" s="956"/>
      <c r="G11" s="1290">
        <v>0</v>
      </c>
      <c r="H11" s="1290">
        <v>327748336</v>
      </c>
      <c r="I11" s="1291">
        <f>G11+H11</f>
        <v>327748336</v>
      </c>
      <c r="J11" s="2089"/>
      <c r="K11" s="1921"/>
      <c r="M11" s="1920"/>
      <c r="N11" s="2045"/>
      <c r="O11" s="1327"/>
    </row>
    <row r="12" spans="1:15" s="1328" customFormat="1" ht="17.25" customHeight="1">
      <c r="A12" s="1326" t="s">
        <v>1375</v>
      </c>
      <c r="B12" s="1327"/>
      <c r="C12" s="1292">
        <v>49283936</v>
      </c>
      <c r="D12" s="937">
        <v>2258353.33</v>
      </c>
      <c r="E12" s="934">
        <f>C12+D12</f>
        <v>51542289.329999998</v>
      </c>
      <c r="F12" s="934"/>
      <c r="G12" s="1292">
        <v>158941823</v>
      </c>
      <c r="H12" s="937">
        <v>-19001432.799999997</v>
      </c>
      <c r="I12" s="934">
        <f>G12+H12</f>
        <v>139940390.19999999</v>
      </c>
      <c r="J12" s="2089"/>
      <c r="K12" s="1921"/>
      <c r="M12" s="1920"/>
      <c r="N12" s="2045"/>
      <c r="O12" s="1327"/>
    </row>
    <row r="13" spans="1:15" s="1328" customFormat="1" ht="17.25" customHeight="1">
      <c r="A13" s="1329" t="s">
        <v>1376</v>
      </c>
      <c r="B13" s="1330"/>
      <c r="C13" s="1292">
        <v>17904063.949999999</v>
      </c>
      <c r="D13" s="937">
        <v>36720527</v>
      </c>
      <c r="E13" s="934">
        <f t="shared" ref="E13:E51" si="0">C13+D13</f>
        <v>54624590.950000003</v>
      </c>
      <c r="F13" s="934"/>
      <c r="G13" s="1292">
        <v>349174737.95000005</v>
      </c>
      <c r="H13" s="937">
        <v>415597694</v>
      </c>
      <c r="I13" s="934">
        <f t="shared" ref="I13:I51" si="1">G13+H13</f>
        <v>764772431.95000005</v>
      </c>
      <c r="J13" s="2089"/>
      <c r="K13" s="1921"/>
      <c r="M13" s="1920"/>
      <c r="N13" s="2045"/>
      <c r="O13" s="1327"/>
    </row>
    <row r="14" spans="1:15" s="1328" customFormat="1" ht="17.25" customHeight="1">
      <c r="A14" s="1329" t="s">
        <v>1488</v>
      </c>
      <c r="B14" s="1330"/>
      <c r="C14" s="1292">
        <v>0</v>
      </c>
      <c r="D14" s="937">
        <v>658282198</v>
      </c>
      <c r="E14" s="934">
        <f t="shared" si="0"/>
        <v>658282198</v>
      </c>
      <c r="F14" s="934"/>
      <c r="G14" s="1292">
        <v>0</v>
      </c>
      <c r="H14" s="937">
        <v>1984205312</v>
      </c>
      <c r="I14" s="934">
        <f t="shared" si="1"/>
        <v>1984205312</v>
      </c>
      <c r="J14" s="2089"/>
      <c r="K14" s="1921"/>
      <c r="M14" s="1920"/>
      <c r="N14" s="2045"/>
      <c r="O14" s="1327"/>
    </row>
    <row r="15" spans="1:15" s="1328" customFormat="1" ht="17.25" customHeight="1">
      <c r="A15" s="1326" t="s">
        <v>1544</v>
      </c>
      <c r="B15" s="1327"/>
      <c r="C15" s="1292">
        <v>0</v>
      </c>
      <c r="D15" s="937">
        <v>1846253</v>
      </c>
      <c r="E15" s="934">
        <f t="shared" si="0"/>
        <v>1846253</v>
      </c>
      <c r="F15" s="934"/>
      <c r="G15" s="1292">
        <v>0</v>
      </c>
      <c r="H15" s="937">
        <v>3692506</v>
      </c>
      <c r="I15" s="934">
        <f t="shared" si="1"/>
        <v>3692506</v>
      </c>
      <c r="J15" s="2089"/>
      <c r="K15" s="1921"/>
      <c r="M15" s="1920"/>
      <c r="N15" s="2045"/>
      <c r="O15" s="1327"/>
    </row>
    <row r="16" spans="1:15" s="1328" customFormat="1" ht="17.25" customHeight="1">
      <c r="A16" s="1326" t="s">
        <v>1377</v>
      </c>
      <c r="B16" s="1327"/>
      <c r="C16" s="1292">
        <v>428567.13</v>
      </c>
      <c r="D16" s="937">
        <v>0</v>
      </c>
      <c r="E16" s="934">
        <f t="shared" si="0"/>
        <v>428567.13</v>
      </c>
      <c r="F16" s="934"/>
      <c r="G16" s="1292">
        <v>13814966.140000001</v>
      </c>
      <c r="H16" s="937">
        <v>0</v>
      </c>
      <c r="I16" s="934">
        <f t="shared" si="1"/>
        <v>13814966.140000001</v>
      </c>
      <c r="J16" s="2089"/>
      <c r="K16" s="1921"/>
      <c r="M16" s="1920"/>
      <c r="N16" s="2045"/>
      <c r="O16" s="1327"/>
    </row>
    <row r="17" spans="1:15" s="1328" customFormat="1" ht="17.25" customHeight="1">
      <c r="A17" s="1326" t="s">
        <v>1378</v>
      </c>
      <c r="B17" s="1327"/>
      <c r="C17" s="1292">
        <v>2137.62</v>
      </c>
      <c r="D17" s="937">
        <v>0</v>
      </c>
      <c r="E17" s="934">
        <f t="shared" si="0"/>
        <v>2137.62</v>
      </c>
      <c r="F17" s="934"/>
      <c r="G17" s="1292">
        <v>3520688.72</v>
      </c>
      <c r="H17" s="937">
        <v>0</v>
      </c>
      <c r="I17" s="934">
        <f t="shared" si="1"/>
        <v>3520688.72</v>
      </c>
      <c r="J17" s="2089"/>
      <c r="K17" s="1921"/>
      <c r="M17" s="1920"/>
      <c r="N17" s="2045"/>
      <c r="O17" s="1327"/>
    </row>
    <row r="18" spans="1:15" s="1328" customFormat="1" ht="17.25" customHeight="1">
      <c r="A18" s="1326" t="s">
        <v>1379</v>
      </c>
      <c r="B18" s="1327"/>
      <c r="C18" s="1292">
        <v>1518784.8900000001</v>
      </c>
      <c r="D18" s="937">
        <v>0</v>
      </c>
      <c r="E18" s="934">
        <f t="shared" si="0"/>
        <v>1518784.8900000001</v>
      </c>
      <c r="F18" s="934"/>
      <c r="G18" s="1292">
        <v>3246076</v>
      </c>
      <c r="H18" s="937">
        <v>0</v>
      </c>
      <c r="I18" s="934">
        <f t="shared" si="1"/>
        <v>3246076</v>
      </c>
      <c r="J18" s="2089"/>
      <c r="K18" s="1921"/>
      <c r="M18" s="1920"/>
      <c r="N18" s="2045"/>
      <c r="O18" s="1327"/>
    </row>
    <row r="19" spans="1:15" s="1328" customFormat="1" ht="17.25" customHeight="1">
      <c r="A19" s="1326" t="s">
        <v>1553</v>
      </c>
      <c r="B19" s="1327"/>
      <c r="C19" s="1292">
        <v>0</v>
      </c>
      <c r="D19" s="937">
        <v>0</v>
      </c>
      <c r="E19" s="934">
        <f t="shared" si="0"/>
        <v>0</v>
      </c>
      <c r="F19" s="934"/>
      <c r="G19" s="1292">
        <v>149932588</v>
      </c>
      <c r="H19" s="937">
        <v>0</v>
      </c>
      <c r="I19" s="934">
        <f t="shared" si="1"/>
        <v>149932588</v>
      </c>
      <c r="J19" s="2089"/>
      <c r="K19" s="1921"/>
      <c r="M19" s="1920"/>
      <c r="N19" s="2045"/>
      <c r="O19" s="1327"/>
    </row>
    <row r="20" spans="1:15" s="1328" customFormat="1" ht="17.25" customHeight="1">
      <c r="A20" s="1326" t="s">
        <v>1380</v>
      </c>
      <c r="B20" s="1327"/>
      <c r="C20" s="1292">
        <v>0</v>
      </c>
      <c r="D20" s="937">
        <v>2478777.0099999998</v>
      </c>
      <c r="E20" s="934">
        <f t="shared" si="0"/>
        <v>2478777.0099999998</v>
      </c>
      <c r="F20" s="934"/>
      <c r="G20" s="1292">
        <v>0</v>
      </c>
      <c r="H20" s="937">
        <v>12949779.890000001</v>
      </c>
      <c r="I20" s="934">
        <f t="shared" si="1"/>
        <v>12949779.890000001</v>
      </c>
      <c r="J20" s="2089"/>
      <c r="K20" s="1921"/>
      <c r="M20" s="1920"/>
      <c r="N20" s="2045"/>
      <c r="O20" s="1327"/>
    </row>
    <row r="21" spans="1:15" s="1328" customFormat="1" ht="17.25" customHeight="1">
      <c r="A21" s="1326" t="s">
        <v>1381</v>
      </c>
      <c r="B21" s="1327"/>
      <c r="C21" s="1292">
        <v>0</v>
      </c>
      <c r="D21" s="937">
        <v>0</v>
      </c>
      <c r="E21" s="934">
        <f t="shared" si="0"/>
        <v>0</v>
      </c>
      <c r="F21" s="934"/>
      <c r="G21" s="1292">
        <v>0</v>
      </c>
      <c r="H21" s="937">
        <v>0</v>
      </c>
      <c r="I21" s="934">
        <f t="shared" si="1"/>
        <v>0</v>
      </c>
      <c r="J21" s="2089"/>
      <c r="K21" s="1921"/>
      <c r="M21" s="1920"/>
      <c r="N21" s="2045"/>
      <c r="O21" s="1327"/>
    </row>
    <row r="22" spans="1:15" s="1328" customFormat="1" ht="17.25" customHeight="1">
      <c r="A22" s="1326" t="s">
        <v>1382</v>
      </c>
      <c r="B22" s="1327"/>
      <c r="C22" s="1292">
        <v>312581.35000000003</v>
      </c>
      <c r="D22" s="937">
        <v>0</v>
      </c>
      <c r="E22" s="934">
        <f t="shared" si="0"/>
        <v>312581.35000000003</v>
      </c>
      <c r="F22" s="934"/>
      <c r="G22" s="1292">
        <v>2899474.91</v>
      </c>
      <c r="H22" s="937">
        <v>0</v>
      </c>
      <c r="I22" s="934">
        <f t="shared" si="1"/>
        <v>2899474.91</v>
      </c>
      <c r="J22" s="2089"/>
      <c r="K22" s="1921"/>
      <c r="M22" s="1920"/>
      <c r="N22" s="2045"/>
      <c r="O22" s="1327"/>
    </row>
    <row r="23" spans="1:15" s="1328" customFormat="1" ht="17.25" customHeight="1">
      <c r="A23" s="1326" t="s">
        <v>1383</v>
      </c>
      <c r="B23" s="1327"/>
      <c r="C23" s="1292">
        <v>687823.11</v>
      </c>
      <c r="D23" s="937">
        <v>0</v>
      </c>
      <c r="E23" s="934">
        <f t="shared" si="0"/>
        <v>687823.11</v>
      </c>
      <c r="F23" s="934"/>
      <c r="G23" s="1292">
        <v>4172687.98</v>
      </c>
      <c r="H23" s="937">
        <v>0</v>
      </c>
      <c r="I23" s="934">
        <f t="shared" si="1"/>
        <v>4172687.98</v>
      </c>
      <c r="J23" s="2089"/>
      <c r="K23" s="1921"/>
      <c r="M23" s="1920"/>
      <c r="N23" s="2045"/>
      <c r="O23" s="1327"/>
    </row>
    <row r="24" spans="1:15" s="1328" customFormat="1" ht="17.25" customHeight="1">
      <c r="A24" s="1326" t="s">
        <v>1384</v>
      </c>
      <c r="B24" s="1327"/>
      <c r="C24" s="1292">
        <v>162800000</v>
      </c>
      <c r="D24" s="937">
        <v>0</v>
      </c>
      <c r="E24" s="934">
        <f t="shared" si="0"/>
        <v>162800000</v>
      </c>
      <c r="F24" s="934"/>
      <c r="G24" s="1292">
        <v>395303000</v>
      </c>
      <c r="H24" s="937">
        <v>0</v>
      </c>
      <c r="I24" s="934">
        <f>G24+H24</f>
        <v>395303000</v>
      </c>
      <c r="J24" s="2089"/>
      <c r="K24" s="1921"/>
      <c r="M24" s="1920"/>
      <c r="N24" s="2045"/>
      <c r="O24" s="1327"/>
    </row>
    <row r="25" spans="1:15" s="1328" customFormat="1" ht="17.25" customHeight="1">
      <c r="A25" s="1326" t="s">
        <v>1385</v>
      </c>
      <c r="B25" s="1327"/>
      <c r="C25" s="937">
        <v>1300139.03</v>
      </c>
      <c r="D25" s="937">
        <v>0</v>
      </c>
      <c r="E25" s="934">
        <f t="shared" si="0"/>
        <v>1300139.03</v>
      </c>
      <c r="F25" s="934"/>
      <c r="G25" s="1292">
        <v>10499423.539999999</v>
      </c>
      <c r="H25" s="937">
        <v>0</v>
      </c>
      <c r="I25" s="934">
        <f>G25+H25</f>
        <v>10499423.539999999</v>
      </c>
      <c r="J25" s="2089"/>
      <c r="K25" s="1921"/>
      <c r="M25" s="1920"/>
      <c r="N25" s="2045"/>
      <c r="O25" s="1327"/>
    </row>
    <row r="26" spans="1:15" s="1328" customFormat="1" ht="17.25" customHeight="1">
      <c r="A26" s="1326" t="s">
        <v>1386</v>
      </c>
      <c r="B26" s="1327"/>
      <c r="C26" s="937">
        <v>2605103.4900000002</v>
      </c>
      <c r="D26" s="937">
        <v>0</v>
      </c>
      <c r="E26" s="934">
        <f t="shared" si="0"/>
        <v>2605103.4900000002</v>
      </c>
      <c r="F26" s="934"/>
      <c r="G26" s="1292">
        <v>12955948.800000001</v>
      </c>
      <c r="H26" s="937">
        <v>0</v>
      </c>
      <c r="I26" s="934">
        <f>G26+H26</f>
        <v>12955948.800000001</v>
      </c>
      <c r="J26" s="2089"/>
      <c r="K26" s="1921"/>
      <c r="M26" s="1920"/>
      <c r="N26" s="2045"/>
      <c r="O26" s="1327"/>
    </row>
    <row r="27" spans="1:15" s="1328" customFormat="1" ht="17.25" customHeight="1">
      <c r="A27" s="1326" t="s">
        <v>1387</v>
      </c>
      <c r="B27" s="1327"/>
      <c r="C27" s="937">
        <v>339331.4</v>
      </c>
      <c r="D27" s="937">
        <v>1486674.5</v>
      </c>
      <c r="E27" s="934">
        <f t="shared" si="0"/>
        <v>1826005.9</v>
      </c>
      <c r="F27" s="934"/>
      <c r="G27" s="1292">
        <v>26327897.510000002</v>
      </c>
      <c r="H27" s="937">
        <v>8780622.5599999987</v>
      </c>
      <c r="I27" s="934">
        <f>G27+H27</f>
        <v>35108520.07</v>
      </c>
      <c r="J27" s="2089"/>
      <c r="K27" s="1921"/>
      <c r="M27" s="1920"/>
      <c r="N27" s="2045"/>
      <c r="O27" s="1327"/>
    </row>
    <row r="28" spans="1:15" s="1328" customFormat="1" ht="17.25" customHeight="1">
      <c r="A28" s="1326" t="s">
        <v>1388</v>
      </c>
      <c r="B28" s="1327"/>
      <c r="C28" s="937">
        <v>7728952</v>
      </c>
      <c r="D28" s="937">
        <v>0</v>
      </c>
      <c r="E28" s="934">
        <f t="shared" si="0"/>
        <v>7728952</v>
      </c>
      <c r="F28" s="934"/>
      <c r="G28" s="1292">
        <v>106807102.11</v>
      </c>
      <c r="H28" s="937">
        <v>0</v>
      </c>
      <c r="I28" s="934">
        <f>G28+H28</f>
        <v>106807102.11</v>
      </c>
      <c r="J28" s="2089"/>
      <c r="K28" s="1921"/>
      <c r="M28" s="1920"/>
      <c r="N28" s="2045"/>
      <c r="O28" s="1327"/>
    </row>
    <row r="29" spans="1:15" s="1328" customFormat="1" ht="17.25" customHeight="1">
      <c r="A29" s="1326" t="s">
        <v>1389</v>
      </c>
      <c r="B29" s="1327"/>
      <c r="C29" s="937">
        <v>138744771.11000001</v>
      </c>
      <c r="D29" s="937">
        <v>0</v>
      </c>
      <c r="E29" s="934">
        <f t="shared" si="0"/>
        <v>138744771.11000001</v>
      </c>
      <c r="F29" s="934"/>
      <c r="G29" s="1292">
        <v>1098982543.99</v>
      </c>
      <c r="H29" s="937">
        <v>0</v>
      </c>
      <c r="I29" s="934">
        <f t="shared" si="1"/>
        <v>1098982543.99</v>
      </c>
      <c r="J29" s="2089"/>
      <c r="K29" s="1921"/>
      <c r="M29" s="1920"/>
      <c r="N29" s="2045"/>
      <c r="O29" s="1327"/>
    </row>
    <row r="30" spans="1:15" s="1328" customFormat="1" ht="17.25" customHeight="1">
      <c r="A30" s="1326" t="s">
        <v>1390</v>
      </c>
      <c r="B30" s="1327"/>
      <c r="C30" s="1292">
        <v>0</v>
      </c>
      <c r="D30" s="937">
        <v>0</v>
      </c>
      <c r="E30" s="934">
        <f t="shared" si="0"/>
        <v>0</v>
      </c>
      <c r="F30" s="934"/>
      <c r="G30" s="1292">
        <v>73166445.209999993</v>
      </c>
      <c r="H30" s="937">
        <v>0</v>
      </c>
      <c r="I30" s="934">
        <f t="shared" si="1"/>
        <v>73166445.209999993</v>
      </c>
      <c r="J30" s="2089"/>
      <c r="K30" s="1921"/>
      <c r="M30" s="1920"/>
      <c r="N30" s="2045"/>
      <c r="O30" s="1327"/>
    </row>
    <row r="31" spans="1:15" s="1328" customFormat="1" ht="17.25" customHeight="1">
      <c r="A31" s="1326" t="s">
        <v>1391</v>
      </c>
      <c r="B31" s="1327"/>
      <c r="C31" s="1292">
        <v>2335195.71</v>
      </c>
      <c r="D31" s="937">
        <v>0</v>
      </c>
      <c r="E31" s="934">
        <f t="shared" si="0"/>
        <v>2335195.71</v>
      </c>
      <c r="F31" s="934"/>
      <c r="G31" s="1292">
        <v>172688249.72</v>
      </c>
      <c r="H31" s="937">
        <v>0</v>
      </c>
      <c r="I31" s="934">
        <f t="shared" si="1"/>
        <v>172688249.72</v>
      </c>
      <c r="J31" s="2089"/>
      <c r="K31" s="1921"/>
      <c r="M31" s="1920"/>
      <c r="N31" s="2045"/>
      <c r="O31" s="1327"/>
    </row>
    <row r="32" spans="1:15" s="1328" customFormat="1" ht="17.25" customHeight="1">
      <c r="A32" s="1326" t="s">
        <v>1392</v>
      </c>
      <c r="B32" s="1327"/>
      <c r="C32" s="1292">
        <v>31159580.91</v>
      </c>
      <c r="D32" s="937">
        <v>0</v>
      </c>
      <c r="E32" s="934">
        <f t="shared" si="0"/>
        <v>31159580.91</v>
      </c>
      <c r="F32" s="934"/>
      <c r="G32" s="1292">
        <v>290178778.06999999</v>
      </c>
      <c r="H32" s="937">
        <v>0</v>
      </c>
      <c r="I32" s="934">
        <f t="shared" si="1"/>
        <v>290178778.06999999</v>
      </c>
      <c r="J32" s="2089"/>
      <c r="K32" s="1921"/>
      <c r="M32" s="1920"/>
      <c r="N32" s="2045"/>
      <c r="O32" s="1327"/>
    </row>
    <row r="33" spans="1:15" s="1328" customFormat="1" ht="17.25" customHeight="1">
      <c r="A33" s="1326" t="s">
        <v>1393</v>
      </c>
      <c r="B33" s="1327"/>
      <c r="C33" s="1292">
        <v>115561217.20999999</v>
      </c>
      <c r="D33" s="937">
        <v>0</v>
      </c>
      <c r="E33" s="934">
        <f t="shared" si="0"/>
        <v>115561217.20999999</v>
      </c>
      <c r="F33" s="934"/>
      <c r="G33" s="1292">
        <v>1442622131.21</v>
      </c>
      <c r="H33" s="937">
        <v>0</v>
      </c>
      <c r="I33" s="934">
        <f t="shared" si="1"/>
        <v>1442622131.21</v>
      </c>
      <c r="J33" s="2089"/>
      <c r="K33" s="1921"/>
      <c r="M33" s="1920"/>
      <c r="N33" s="2045"/>
      <c r="O33" s="1327"/>
    </row>
    <row r="34" spans="1:15" s="1328" customFormat="1" ht="17.25" customHeight="1">
      <c r="A34" s="1326" t="s">
        <v>1394</v>
      </c>
      <c r="B34" s="1327"/>
      <c r="C34" s="1292">
        <v>-31176377.16</v>
      </c>
      <c r="D34" s="937">
        <v>0</v>
      </c>
      <c r="E34" s="934">
        <f t="shared" si="0"/>
        <v>-31176377.16</v>
      </c>
      <c r="F34" s="934"/>
      <c r="G34" s="1292">
        <v>5679481883.3399992</v>
      </c>
      <c r="H34" s="937">
        <v>0</v>
      </c>
      <c r="I34" s="934">
        <f t="shared" si="1"/>
        <v>5679481883.3399992</v>
      </c>
      <c r="J34" s="2089"/>
      <c r="K34" s="1921"/>
      <c r="M34" s="1920"/>
      <c r="N34" s="2045"/>
      <c r="O34" s="1327"/>
    </row>
    <row r="35" spans="1:15" s="1328" customFormat="1" ht="17.25" customHeight="1">
      <c r="A35" s="1326" t="s">
        <v>1395</v>
      </c>
      <c r="B35" s="1327"/>
      <c r="C35" s="1292">
        <v>-444027300.89999998</v>
      </c>
      <c r="D35" s="937">
        <v>0</v>
      </c>
      <c r="E35" s="934">
        <f t="shared" si="0"/>
        <v>-444027300.89999998</v>
      </c>
      <c r="F35" s="934"/>
      <c r="G35" s="1292">
        <v>4618206257.9700003</v>
      </c>
      <c r="H35" s="937">
        <v>0</v>
      </c>
      <c r="I35" s="934">
        <f t="shared" si="1"/>
        <v>4618206257.9700003</v>
      </c>
      <c r="J35" s="2089"/>
      <c r="K35" s="1921"/>
      <c r="M35" s="1920"/>
      <c r="N35" s="2045"/>
      <c r="O35" s="1327"/>
    </row>
    <row r="36" spans="1:15" s="1328" customFormat="1" ht="17.25" customHeight="1">
      <c r="A36" s="1326" t="s">
        <v>1396</v>
      </c>
      <c r="B36" s="1327"/>
      <c r="C36" s="1292">
        <v>81327440.519999996</v>
      </c>
      <c r="D36" s="937">
        <v>0</v>
      </c>
      <c r="E36" s="934">
        <f t="shared" si="0"/>
        <v>81327440.519999996</v>
      </c>
      <c r="F36" s="934"/>
      <c r="G36" s="1292">
        <v>174121600.63999999</v>
      </c>
      <c r="H36" s="937">
        <v>0</v>
      </c>
      <c r="I36" s="934">
        <f t="shared" si="1"/>
        <v>174121600.63999999</v>
      </c>
      <c r="J36" s="2089"/>
      <c r="K36" s="1921"/>
      <c r="M36" s="1920"/>
      <c r="N36" s="2045"/>
      <c r="O36" s="1327"/>
    </row>
    <row r="37" spans="1:15" s="1328" customFormat="1" ht="17.25" customHeight="1">
      <c r="A37" s="1326" t="s">
        <v>1397</v>
      </c>
      <c r="B37" s="1327"/>
      <c r="C37" s="1292">
        <v>24538198.190000001</v>
      </c>
      <c r="D37" s="937">
        <v>0</v>
      </c>
      <c r="E37" s="934">
        <f t="shared" si="0"/>
        <v>24538198.190000001</v>
      </c>
      <c r="F37" s="934"/>
      <c r="G37" s="1292">
        <v>284391595.85000002</v>
      </c>
      <c r="H37" s="937">
        <v>0</v>
      </c>
      <c r="I37" s="934">
        <f t="shared" si="1"/>
        <v>284391595.85000002</v>
      </c>
      <c r="J37" s="2089"/>
      <c r="K37" s="1921"/>
      <c r="M37" s="1920"/>
      <c r="N37" s="2045"/>
      <c r="O37" s="1327"/>
    </row>
    <row r="38" spans="1:15" s="1328" customFormat="1" ht="17.25" customHeight="1">
      <c r="A38" s="1326" t="s">
        <v>1398</v>
      </c>
      <c r="B38" s="1327"/>
      <c r="C38" s="1292">
        <v>206786</v>
      </c>
      <c r="D38" s="937">
        <v>0</v>
      </c>
      <c r="E38" s="934">
        <f t="shared" si="0"/>
        <v>206786</v>
      </c>
      <c r="F38" s="934"/>
      <c r="G38" s="1292">
        <v>2758584.9699999997</v>
      </c>
      <c r="H38" s="937">
        <v>0</v>
      </c>
      <c r="I38" s="934">
        <f t="shared" si="1"/>
        <v>2758584.9699999997</v>
      </c>
      <c r="J38" s="2089"/>
      <c r="K38" s="1921"/>
      <c r="M38" s="1920"/>
      <c r="N38" s="2045"/>
      <c r="O38" s="1327"/>
    </row>
    <row r="39" spans="1:15" s="1328" customFormat="1" ht="17.25" customHeight="1">
      <c r="A39" s="1329" t="s">
        <v>1399</v>
      </c>
      <c r="B39" s="1327"/>
      <c r="C39" s="1292">
        <v>863330324.49000001</v>
      </c>
      <c r="D39" s="937">
        <v>13972609</v>
      </c>
      <c r="E39" s="934">
        <f t="shared" si="0"/>
        <v>877302933.49000001</v>
      </c>
      <c r="F39" s="934"/>
      <c r="G39" s="1292">
        <v>9404831005.8799992</v>
      </c>
      <c r="H39" s="937">
        <v>30417490</v>
      </c>
      <c r="I39" s="934">
        <f t="shared" si="1"/>
        <v>9435248495.8799992</v>
      </c>
      <c r="J39" s="2089"/>
      <c r="K39" s="1921"/>
      <c r="M39" s="1920"/>
      <c r="N39" s="2045"/>
      <c r="O39" s="1327"/>
    </row>
    <row r="40" spans="1:15" s="1328" customFormat="1" ht="17.25" customHeight="1">
      <c r="A40" s="1326" t="s">
        <v>1400</v>
      </c>
      <c r="B40" s="1327"/>
      <c r="C40" s="1292">
        <v>528692119.93000001</v>
      </c>
      <c r="D40" s="937">
        <v>0</v>
      </c>
      <c r="E40" s="934">
        <f t="shared" si="0"/>
        <v>528692119.93000001</v>
      </c>
      <c r="F40" s="934"/>
      <c r="G40" s="1292">
        <v>2319950849.8600001</v>
      </c>
      <c r="H40" s="937">
        <v>0</v>
      </c>
      <c r="I40" s="934">
        <f t="shared" si="1"/>
        <v>2319950849.8600001</v>
      </c>
      <c r="J40" s="2089"/>
      <c r="K40" s="1921"/>
      <c r="M40" s="1920"/>
      <c r="N40" s="2045"/>
      <c r="O40" s="1327"/>
    </row>
    <row r="41" spans="1:15" s="1328" customFormat="1" ht="17.25" customHeight="1">
      <c r="A41" s="1326" t="s">
        <v>1401</v>
      </c>
      <c r="B41" s="1327"/>
      <c r="C41" s="1292">
        <v>195737.75</v>
      </c>
      <c r="D41" s="937">
        <v>0</v>
      </c>
      <c r="E41" s="934">
        <f t="shared" si="0"/>
        <v>195737.75</v>
      </c>
      <c r="F41" s="934"/>
      <c r="G41" s="1292">
        <v>2605851.88</v>
      </c>
      <c r="H41" s="937">
        <v>0</v>
      </c>
      <c r="I41" s="934">
        <f t="shared" si="1"/>
        <v>2605851.88</v>
      </c>
      <c r="J41" s="2089"/>
      <c r="K41" s="1921"/>
      <c r="M41" s="1920"/>
      <c r="N41" s="2045"/>
      <c r="O41" s="1327"/>
    </row>
    <row r="42" spans="1:15" s="1328" customFormat="1" ht="17.25" customHeight="1">
      <c r="A42" s="1326" t="s">
        <v>1402</v>
      </c>
      <c r="B42" s="1327"/>
      <c r="C42" s="1292">
        <v>300000000</v>
      </c>
      <c r="D42" s="937">
        <v>0</v>
      </c>
      <c r="E42" s="934">
        <f t="shared" si="0"/>
        <v>300000000</v>
      </c>
      <c r="F42" s="934"/>
      <c r="G42" s="1292">
        <v>3850000000</v>
      </c>
      <c r="H42" s="937">
        <v>0</v>
      </c>
      <c r="I42" s="934">
        <f t="shared" si="1"/>
        <v>3850000000</v>
      </c>
      <c r="J42" s="2089"/>
      <c r="K42" s="1921"/>
      <c r="M42" s="1920"/>
      <c r="N42" s="2045"/>
      <c r="O42" s="1327"/>
    </row>
    <row r="43" spans="1:15" s="1328" customFormat="1" ht="17.25" customHeight="1">
      <c r="A43" s="2082" t="s">
        <v>1596</v>
      </c>
      <c r="B43" s="1327"/>
      <c r="C43" s="1292">
        <v>120500000</v>
      </c>
      <c r="D43" s="937">
        <v>0</v>
      </c>
      <c r="E43" s="934">
        <f t="shared" si="0"/>
        <v>120500000</v>
      </c>
      <c r="F43" s="934"/>
      <c r="G43" s="1292">
        <v>120500000</v>
      </c>
      <c r="H43" s="937">
        <v>0</v>
      </c>
      <c r="I43" s="934">
        <f t="shared" si="1"/>
        <v>120500000</v>
      </c>
      <c r="J43" s="1920"/>
      <c r="K43" s="1921"/>
      <c r="M43" s="1920"/>
      <c r="N43" s="2045"/>
      <c r="O43" s="1327"/>
    </row>
    <row r="44" spans="1:15" s="2081" customFormat="1" ht="17.25" customHeight="1">
      <c r="A44" s="2082" t="s">
        <v>1583</v>
      </c>
      <c r="C44" s="2084">
        <v>9900000</v>
      </c>
      <c r="D44" s="937">
        <v>0</v>
      </c>
      <c r="E44" s="2088">
        <f>+C44</f>
        <v>9900000</v>
      </c>
      <c r="G44" s="2084">
        <f>+C44</f>
        <v>9900000</v>
      </c>
      <c r="H44" s="937">
        <v>0</v>
      </c>
      <c r="I44" s="934">
        <f t="shared" si="1"/>
        <v>9900000</v>
      </c>
      <c r="J44" s="2083"/>
      <c r="K44" s="1921"/>
      <c r="L44" s="1328"/>
      <c r="N44" s="2045"/>
      <c r="O44" s="1327"/>
    </row>
    <row r="45" spans="1:15" s="1328" customFormat="1" ht="17.25" customHeight="1">
      <c r="A45" s="1326" t="s">
        <v>1521</v>
      </c>
      <c r="B45" s="1327"/>
      <c r="C45" s="1292">
        <v>-5382.5</v>
      </c>
      <c r="D45" s="937">
        <v>0</v>
      </c>
      <c r="E45" s="934">
        <f t="shared" si="0"/>
        <v>-5382.5</v>
      </c>
      <c r="F45" s="934"/>
      <c r="G45" s="1292">
        <f>142144289.5+C45</f>
        <v>142138907</v>
      </c>
      <c r="H45" s="937">
        <v>0</v>
      </c>
      <c r="I45" s="934">
        <f t="shared" si="1"/>
        <v>142138907</v>
      </c>
      <c r="J45" s="2089"/>
      <c r="K45" s="1921"/>
      <c r="M45" s="1920"/>
      <c r="N45" s="2045"/>
      <c r="O45" s="1327"/>
    </row>
    <row r="46" spans="1:15" s="1328" customFormat="1" ht="17.25" customHeight="1">
      <c r="A46" s="1326" t="s">
        <v>1582</v>
      </c>
      <c r="B46" s="1327"/>
      <c r="C46" s="1292">
        <v>44300000</v>
      </c>
      <c r="D46" s="937">
        <v>0</v>
      </c>
      <c r="E46" s="934">
        <f t="shared" si="0"/>
        <v>44300000</v>
      </c>
      <c r="F46" s="934"/>
      <c r="G46" s="1292">
        <v>44300000</v>
      </c>
      <c r="H46" s="937">
        <v>0</v>
      </c>
      <c r="I46" s="934">
        <f t="shared" si="1"/>
        <v>44300000</v>
      </c>
      <c r="J46" s="1920"/>
      <c r="K46" s="1921"/>
      <c r="M46" s="1920"/>
      <c r="N46" s="2045"/>
      <c r="O46" s="1327"/>
    </row>
    <row r="47" spans="1:15" s="1328" customFormat="1" ht="17.25" customHeight="1">
      <c r="A47" s="1326" t="s">
        <v>1403</v>
      </c>
      <c r="B47" s="1327"/>
      <c r="C47" s="1292">
        <v>0</v>
      </c>
      <c r="D47" s="937">
        <v>0</v>
      </c>
      <c r="E47" s="934">
        <f t="shared" si="0"/>
        <v>0</v>
      </c>
      <c r="F47" s="934"/>
      <c r="G47" s="1292">
        <v>453664596.42000002</v>
      </c>
      <c r="H47" s="937">
        <v>0</v>
      </c>
      <c r="I47" s="934">
        <f t="shared" si="1"/>
        <v>453664596.42000002</v>
      </c>
      <c r="J47" s="2088"/>
      <c r="K47" s="1921"/>
      <c r="M47" s="1920"/>
      <c r="N47" s="2045"/>
      <c r="O47" s="1327"/>
    </row>
    <row r="48" spans="1:15" s="1328" customFormat="1" ht="17.25" customHeight="1">
      <c r="A48" s="1326" t="s">
        <v>1404</v>
      </c>
      <c r="B48" s="1327"/>
      <c r="C48" s="1292">
        <v>87500000</v>
      </c>
      <c r="D48" s="937">
        <v>0</v>
      </c>
      <c r="E48" s="934">
        <f t="shared" si="0"/>
        <v>87500000</v>
      </c>
      <c r="F48" s="934"/>
      <c r="G48" s="1292">
        <v>945362000</v>
      </c>
      <c r="H48" s="937">
        <v>0</v>
      </c>
      <c r="I48" s="934">
        <f t="shared" si="1"/>
        <v>945362000</v>
      </c>
      <c r="J48" s="2089"/>
      <c r="K48" s="1921"/>
      <c r="M48" s="1920"/>
      <c r="N48" s="2045"/>
      <c r="O48" s="1327"/>
    </row>
    <row r="49" spans="1:15" s="1328" customFormat="1" ht="17.25" customHeight="1">
      <c r="A49" s="1326" t="s">
        <v>1556</v>
      </c>
      <c r="B49" s="1327"/>
      <c r="C49" s="1292">
        <v>0</v>
      </c>
      <c r="D49" s="937">
        <v>0</v>
      </c>
      <c r="E49" s="934">
        <f t="shared" si="0"/>
        <v>0</v>
      </c>
      <c r="F49" s="934"/>
      <c r="G49" s="1292">
        <v>65625</v>
      </c>
      <c r="H49" s="937">
        <v>0</v>
      </c>
      <c r="I49" s="934">
        <f t="shared" si="1"/>
        <v>65625</v>
      </c>
      <c r="J49" s="2089"/>
      <c r="K49" s="1921"/>
      <c r="M49" s="1920"/>
      <c r="N49" s="2045"/>
      <c r="O49" s="1327"/>
    </row>
    <row r="50" spans="1:15" s="1328" customFormat="1" ht="17.25" customHeight="1">
      <c r="A50" s="1326" t="s">
        <v>1484</v>
      </c>
      <c r="B50" s="1327"/>
      <c r="C50" s="1292">
        <v>923431</v>
      </c>
      <c r="D50" s="937">
        <v>0</v>
      </c>
      <c r="E50" s="934">
        <f t="shared" si="0"/>
        <v>923431</v>
      </c>
      <c r="F50" s="934"/>
      <c r="G50" s="1292">
        <v>15696236</v>
      </c>
      <c r="H50" s="937">
        <v>0</v>
      </c>
      <c r="I50" s="934">
        <f t="shared" si="1"/>
        <v>15696236</v>
      </c>
      <c r="J50" s="2089"/>
      <c r="K50" s="1921"/>
      <c r="M50" s="1920"/>
      <c r="N50" s="2045"/>
      <c r="O50" s="1327"/>
    </row>
    <row r="51" spans="1:15" s="1328" customFormat="1" ht="17.25" customHeight="1">
      <c r="A51" s="1326" t="s">
        <v>1405</v>
      </c>
      <c r="B51" s="1327"/>
      <c r="C51" s="1292">
        <v>91100000</v>
      </c>
      <c r="D51" s="937">
        <v>0</v>
      </c>
      <c r="E51" s="934">
        <f t="shared" si="0"/>
        <v>91100000</v>
      </c>
      <c r="F51" s="934"/>
      <c r="G51" s="1292">
        <v>385123841.98000002</v>
      </c>
      <c r="H51" s="937">
        <v>0</v>
      </c>
      <c r="I51" s="934">
        <f t="shared" si="1"/>
        <v>385123841.98000002</v>
      </c>
      <c r="J51" s="2089"/>
      <c r="K51" s="1921"/>
      <c r="M51" s="1920"/>
      <c r="N51" s="2045"/>
      <c r="O51" s="1327"/>
    </row>
    <row r="52" spans="1:15" s="1325" customFormat="1" ht="17.25" customHeight="1">
      <c r="A52" s="957" t="s">
        <v>1406</v>
      </c>
      <c r="B52" s="1324"/>
      <c r="C52" s="998">
        <f>SUM(C11:C51)</f>
        <v>2210017162.23</v>
      </c>
      <c r="D52" s="998">
        <f>SUM(D11:D51)</f>
        <v>797119985.84000003</v>
      </c>
      <c r="E52" s="998">
        <f>SUM(E11:E51)</f>
        <v>3007137148.0700002</v>
      </c>
      <c r="F52" s="958"/>
      <c r="G52" s="998">
        <f>SUM(G11:G51)</f>
        <v>32768333399.649994</v>
      </c>
      <c r="H52" s="998">
        <f>SUM(H11:H51)</f>
        <v>2764390307.6499996</v>
      </c>
      <c r="I52" s="998">
        <f>SUM(I11:I51)</f>
        <v>35532723707.299995</v>
      </c>
      <c r="J52" s="2089"/>
      <c r="K52" s="1921"/>
      <c r="L52" s="1328"/>
      <c r="M52" s="1920"/>
      <c r="N52" s="2045"/>
      <c r="O52" s="1327"/>
    </row>
    <row r="53" spans="1:15" ht="9.65" customHeight="1">
      <c r="A53" s="1320"/>
      <c r="B53" s="1321"/>
      <c r="C53" s="1995"/>
      <c r="D53" s="1995"/>
      <c r="E53" s="1995"/>
      <c r="F53" s="1995"/>
      <c r="G53" s="2054"/>
      <c r="H53" s="2054"/>
      <c r="I53" s="2054"/>
      <c r="J53" s="2089"/>
      <c r="K53" s="2045"/>
      <c r="L53" s="1327"/>
    </row>
    <row r="54" spans="1:15" ht="43.4" customHeight="1">
      <c r="A54" s="1331" t="s">
        <v>1407</v>
      </c>
      <c r="B54" s="1321"/>
      <c r="C54" s="1996">
        <v>-623602703.36000001</v>
      </c>
      <c r="D54" s="1997">
        <v>0</v>
      </c>
      <c r="E54" s="977">
        <f>C54+D54</f>
        <v>-623602703.36000001</v>
      </c>
      <c r="F54" s="978"/>
      <c r="G54" s="1997">
        <v>-2809142311.1799998</v>
      </c>
      <c r="H54" s="1997">
        <v>0</v>
      </c>
      <c r="I54" s="979">
        <f>G54+H54</f>
        <v>-2809142311.1799998</v>
      </c>
      <c r="J54" s="2089"/>
      <c r="K54" s="1921"/>
      <c r="L54" s="1328"/>
    </row>
    <row r="55" spans="1:15" ht="15.65" customHeight="1">
      <c r="A55" s="1332"/>
      <c r="B55" s="1321"/>
      <c r="C55" s="1998"/>
      <c r="D55" s="1998"/>
      <c r="E55" s="1998"/>
      <c r="F55" s="1998"/>
      <c r="G55" s="1999"/>
      <c r="H55" s="1999" t="s">
        <v>103</v>
      </c>
      <c r="I55" s="1999"/>
      <c r="J55" s="2089"/>
      <c r="K55" s="2045"/>
      <c r="L55" s="1327"/>
    </row>
    <row r="56" spans="1:15" ht="17.25" customHeight="1" thickBot="1">
      <c r="A56" s="1332" t="s">
        <v>1408</v>
      </c>
      <c r="B56" s="1321"/>
      <c r="C56" s="959">
        <f>+C52+C54</f>
        <v>1586414458.8699999</v>
      </c>
      <c r="D56" s="959">
        <f t="shared" ref="D56:H56" si="2">+D52+D54</f>
        <v>797119985.84000003</v>
      </c>
      <c r="E56" s="959">
        <f>+E52+E54</f>
        <v>2383534444.71</v>
      </c>
      <c r="F56" s="956">
        <f t="shared" si="2"/>
        <v>0</v>
      </c>
      <c r="G56" s="959">
        <f>+G52+G54</f>
        <v>29959191088.469994</v>
      </c>
      <c r="H56" s="959">
        <f t="shared" si="2"/>
        <v>2764390307.6499996</v>
      </c>
      <c r="I56" s="959">
        <f>+I52+I54</f>
        <v>32723581396.119995</v>
      </c>
      <c r="J56" s="2090"/>
      <c r="K56" s="1921"/>
      <c r="L56" s="1328"/>
    </row>
    <row r="57" spans="1:15" ht="17.25" customHeight="1" thickTop="1">
      <c r="A57" s="1333"/>
      <c r="B57" s="1323"/>
      <c r="C57" s="1333"/>
      <c r="D57" s="1333"/>
      <c r="E57" s="2000"/>
      <c r="F57" s="2000"/>
      <c r="G57" s="2001"/>
      <c r="H57" s="2001"/>
      <c r="I57" s="2001"/>
    </row>
    <row r="58" spans="1:15" ht="16.399999999999999" customHeight="1">
      <c r="A58" s="1334" t="s">
        <v>1409</v>
      </c>
      <c r="B58" s="1323"/>
      <c r="C58" s="2002"/>
      <c r="D58" s="2003"/>
      <c r="E58" s="2004"/>
      <c r="F58" s="2005"/>
      <c r="G58" s="2003" t="s">
        <v>103</v>
      </c>
      <c r="H58" s="2003"/>
      <c r="I58" s="2003"/>
    </row>
    <row r="59" spans="1:15" ht="16.399999999999999" customHeight="1">
      <c r="A59" s="1335" t="s">
        <v>1410</v>
      </c>
      <c r="B59" s="1323"/>
      <c r="C59" s="2006"/>
      <c r="D59" s="2007"/>
      <c r="E59" s="2087"/>
      <c r="F59" s="960"/>
      <c r="G59" s="2008"/>
      <c r="H59" s="2009"/>
      <c r="I59" s="933"/>
    </row>
    <row r="60" spans="1:15" ht="16.399999999999999" customHeight="1">
      <c r="A60" s="1335" t="s">
        <v>1411</v>
      </c>
      <c r="B60" s="1323"/>
      <c r="C60" s="2010"/>
      <c r="D60" s="2002"/>
      <c r="E60" s="2003"/>
      <c r="F60" s="2004"/>
      <c r="G60" s="2011"/>
      <c r="H60" s="2003"/>
      <c r="I60" s="2003"/>
    </row>
    <row r="61" spans="1:15" s="1315" customFormat="1" ht="16.399999999999999" customHeight="1">
      <c r="A61" s="1335" t="s">
        <v>1412</v>
      </c>
      <c r="B61" s="1314"/>
      <c r="C61" s="1996"/>
      <c r="D61" s="1997"/>
      <c r="E61" s="977"/>
      <c r="F61" s="978"/>
      <c r="G61" s="1997"/>
      <c r="H61" s="1997"/>
      <c r="I61" s="979"/>
      <c r="J61" s="2091"/>
    </row>
    <row r="62" spans="1:15" s="1315" customFormat="1" ht="13.4" customHeight="1">
      <c r="A62" s="1335" t="s">
        <v>1413</v>
      </c>
      <c r="B62" s="1314"/>
      <c r="C62" s="2012"/>
      <c r="E62" s="2085"/>
      <c r="G62" s="2013"/>
      <c r="H62" s="1314"/>
      <c r="I62" s="2014"/>
      <c r="J62" s="2091"/>
    </row>
    <row r="63" spans="1:15" ht="17.25" customHeight="1">
      <c r="A63" s="1335" t="s">
        <v>1414</v>
      </c>
      <c r="G63" s="2003"/>
    </row>
    <row r="64" spans="1:15" ht="17.25" customHeight="1">
      <c r="C64" s="1996" t="s">
        <v>103</v>
      </c>
      <c r="D64" s="1997"/>
      <c r="E64" s="977"/>
      <c r="F64" s="978"/>
      <c r="G64" s="1997"/>
      <c r="H64" s="1997"/>
      <c r="I64" s="979"/>
    </row>
    <row r="65" spans="3:9" ht="17.25" customHeight="1">
      <c r="C65" s="2002"/>
      <c r="D65" s="2003"/>
      <c r="E65" s="2004"/>
      <c r="F65" s="2005"/>
      <c r="G65" s="2003"/>
      <c r="H65" s="2003"/>
      <c r="I65" s="2003"/>
    </row>
    <row r="66" spans="3:9" ht="17.25" customHeight="1">
      <c r="C66" s="1996"/>
      <c r="D66" s="1997"/>
      <c r="E66" s="977"/>
      <c r="F66" s="978"/>
      <c r="G66" s="1997"/>
      <c r="H66" s="1997"/>
      <c r="I66" s="979"/>
    </row>
    <row r="67" spans="3:9" ht="17.25" customHeight="1">
      <c r="G67" s="1316"/>
    </row>
    <row r="68" spans="3:9" ht="17.25" customHeight="1">
      <c r="C68" s="2012"/>
      <c r="G68" s="1316"/>
      <c r="I68" s="1915"/>
    </row>
    <row r="69" spans="3:9" ht="17.25" customHeight="1">
      <c r="G69" s="1316"/>
    </row>
    <row r="70" spans="3:9" ht="17.25" customHeight="1">
      <c r="I70" s="1915"/>
    </row>
  </sheetData>
  <mergeCells count="2">
    <mergeCell ref="C7:E7"/>
    <mergeCell ref="G7:I7"/>
  </mergeCells>
  <printOptions horizontalCentered="1"/>
  <pageMargins left="0.17" right="0.18" top="0.44" bottom="0.27" header="0.23" footer="0.18"/>
  <pageSetup scale="51" firstPageNumber="58" orientation="landscape" useFirstPageNumber="1" r:id="rId1"/>
  <headerFooter scaleWithDoc="0" alignWithMargins="0">
    <oddFooter>&amp;C&amp;8&amp;P</oddFooter>
  </headerFooter>
  <customProperties>
    <customPr name="SheetOptions" r:id="rId2"/>
  </customProperties>
  <ignoredErrors>
    <ignoredError sqref="E44"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O43"/>
  <sheetViews>
    <sheetView showGridLines="0" zoomScale="80" workbookViewId="0"/>
  </sheetViews>
  <sheetFormatPr defaultColWidth="8.69140625" defaultRowHeight="14.5"/>
  <cols>
    <col min="1" max="1" width="58.53515625" style="1340" customWidth="1"/>
    <col min="2" max="2" width="2" style="1314" customWidth="1"/>
    <col min="3" max="3" width="21.07421875" style="1315" customWidth="1"/>
    <col min="4" max="4" width="21.69140625" style="1315" customWidth="1"/>
    <col min="5" max="5" width="19.69140625" style="1315" customWidth="1"/>
    <col min="6" max="6" width="1.07421875" style="1315" customWidth="1"/>
    <col min="7" max="7" width="22.07421875" style="1986" customWidth="1"/>
    <col min="8" max="8" width="20.69140625" style="1314" customWidth="1"/>
    <col min="9" max="9" width="21.69140625" style="1314" customWidth="1"/>
    <col min="10" max="10" width="20.23046875" style="1316" customWidth="1"/>
    <col min="11" max="11" width="18.69140625" style="1314" customWidth="1"/>
    <col min="12" max="12" width="8.69140625" style="1314"/>
    <col min="13" max="13" width="15" style="1316" customWidth="1"/>
    <col min="14" max="14" width="16.53515625" style="1314" customWidth="1"/>
    <col min="15" max="15" width="15.69140625" style="1314" customWidth="1"/>
    <col min="16" max="16384" width="8.69140625" style="1314"/>
  </cols>
  <sheetData>
    <row r="1" spans="1:15" ht="15.5">
      <c r="A1" s="275" t="s">
        <v>97</v>
      </c>
    </row>
    <row r="3" spans="1:15" ht="25.4" customHeight="1">
      <c r="A3" s="1317" t="s">
        <v>98</v>
      </c>
      <c r="C3" s="1987"/>
      <c r="D3" s="1987"/>
      <c r="E3" s="1987"/>
      <c r="F3" s="1987"/>
      <c r="I3" s="1989" t="s">
        <v>1415</v>
      </c>
    </row>
    <row r="4" spans="1:15" ht="25.4" customHeight="1">
      <c r="A4" s="1317" t="s">
        <v>1416</v>
      </c>
      <c r="C4" s="1987"/>
      <c r="D4" s="1987"/>
      <c r="E4" s="1987"/>
      <c r="F4" s="1987"/>
    </row>
    <row r="5" spans="1:15" ht="18.649999999999999" customHeight="1">
      <c r="A5" s="1318" t="str">
        <f>'Appendix H'!A5</f>
        <v>FISCAL YEAR 2024-2025</v>
      </c>
      <c r="C5" s="1987"/>
      <c r="D5" s="1987"/>
      <c r="E5" s="1987"/>
      <c r="F5" s="1987"/>
    </row>
    <row r="6" spans="1:15" ht="21">
      <c r="A6" s="1336"/>
      <c r="C6" s="1987"/>
      <c r="D6" s="1987"/>
      <c r="E6" s="1987"/>
      <c r="F6" s="1987"/>
    </row>
    <row r="7" spans="1:15" ht="15.5">
      <c r="A7" s="1337"/>
      <c r="B7" s="1321"/>
      <c r="C7" s="2146" t="str">
        <f>'Appendix H'!C7</f>
        <v>FEBRUARY 2025</v>
      </c>
      <c r="D7" s="2147"/>
      <c r="E7" s="2147"/>
      <c r="F7" s="1990"/>
      <c r="G7" s="2147" t="str">
        <f>'Appendix H'!G7</f>
        <v>11 MONTHS ENDED FEBRUARY 28</v>
      </c>
      <c r="H7" s="2147"/>
      <c r="I7" s="2147"/>
    </row>
    <row r="8" spans="1:15" ht="15.5">
      <c r="A8" s="1337"/>
      <c r="B8" s="1321"/>
      <c r="C8" s="2015"/>
      <c r="D8" s="2015"/>
      <c r="E8" s="2015"/>
      <c r="F8" s="2015"/>
      <c r="G8" s="1991"/>
      <c r="H8" s="1321"/>
      <c r="I8" s="1321"/>
    </row>
    <row r="9" spans="1:15" ht="15.5">
      <c r="A9" s="1338"/>
      <c r="B9" s="1321"/>
      <c r="C9" s="1322" t="s">
        <v>1371</v>
      </c>
      <c r="D9" s="1322" t="s">
        <v>1372</v>
      </c>
      <c r="E9" s="1322" t="str">
        <f>'Appendix H'!E9</f>
        <v>February</v>
      </c>
      <c r="F9" s="1322"/>
      <c r="G9" s="1322" t="s">
        <v>1371</v>
      </c>
      <c r="H9" s="1322" t="s">
        <v>1372</v>
      </c>
      <c r="I9" s="1992" t="s">
        <v>1373</v>
      </c>
    </row>
    <row r="10" spans="1:15" s="1325" customFormat="1" ht="15.5">
      <c r="A10" s="955"/>
      <c r="B10" s="1324"/>
      <c r="C10" s="2016"/>
      <c r="D10" s="2016"/>
      <c r="E10" s="2016"/>
      <c r="F10" s="2016"/>
      <c r="G10" s="2017"/>
      <c r="H10" s="1324"/>
      <c r="I10" s="2017"/>
      <c r="J10" s="1919"/>
      <c r="M10" s="1919"/>
    </row>
    <row r="11" spans="1:15" s="1328" customFormat="1" ht="15.5">
      <c r="A11" s="1326" t="s">
        <v>1417</v>
      </c>
      <c r="B11" s="1327"/>
      <c r="C11" s="949">
        <v>9459692.9900000002</v>
      </c>
      <c r="D11" s="949">
        <v>0</v>
      </c>
      <c r="E11" s="950">
        <f>C11+D11</f>
        <v>9459692.9900000002</v>
      </c>
      <c r="F11" s="950"/>
      <c r="G11" s="949">
        <v>183937282.90000001</v>
      </c>
      <c r="H11" s="949">
        <v>0</v>
      </c>
      <c r="I11" s="950">
        <f>G11+H11</f>
        <v>183937282.90000001</v>
      </c>
      <c r="J11" s="1920"/>
      <c r="K11" s="1921"/>
      <c r="M11" s="1920"/>
      <c r="N11" s="1921"/>
      <c r="O11" s="2045"/>
    </row>
    <row r="12" spans="1:15" s="1328" customFormat="1" ht="15.5">
      <c r="A12" s="1326" t="s">
        <v>1376</v>
      </c>
      <c r="B12" s="1327"/>
      <c r="C12" s="937">
        <v>18099559.469999999</v>
      </c>
      <c r="D12" s="937">
        <v>23934983</v>
      </c>
      <c r="E12" s="934">
        <f>C12+D12</f>
        <v>42034542.469999999</v>
      </c>
      <c r="F12" s="934"/>
      <c r="G12" s="937">
        <v>113708092.21000001</v>
      </c>
      <c r="H12" s="937">
        <v>361643631.01999998</v>
      </c>
      <c r="I12" s="934">
        <f>G12+H12</f>
        <v>475351723.23000002</v>
      </c>
      <c r="J12" s="1920"/>
      <c r="K12" s="1921"/>
      <c r="M12" s="1920"/>
      <c r="N12" s="1921"/>
      <c r="O12" s="2045"/>
    </row>
    <row r="13" spans="1:15" s="1328" customFormat="1" ht="15.5">
      <c r="A13" s="1326" t="s">
        <v>1389</v>
      </c>
      <c r="B13" s="1327"/>
      <c r="C13" s="937">
        <v>346666419.87</v>
      </c>
      <c r="D13" s="937">
        <v>0</v>
      </c>
      <c r="E13" s="934">
        <f t="shared" ref="E13:E23" si="0">C13+D13</f>
        <v>346666419.87</v>
      </c>
      <c r="F13" s="934"/>
      <c r="G13" s="937">
        <v>3545047380.4200001</v>
      </c>
      <c r="H13" s="937">
        <v>0</v>
      </c>
      <c r="I13" s="934">
        <f t="shared" ref="I13:I25" si="1">G13+H13</f>
        <v>3545047380.4200001</v>
      </c>
      <c r="J13" s="1920"/>
      <c r="K13" s="1921"/>
      <c r="M13" s="1920"/>
      <c r="N13" s="1921"/>
      <c r="O13" s="2045"/>
    </row>
    <row r="14" spans="1:15" s="1328" customFormat="1" ht="15.5">
      <c r="A14" s="1326" t="s">
        <v>1391</v>
      </c>
      <c r="B14" s="1327"/>
      <c r="C14" s="937">
        <v>37006030.630000003</v>
      </c>
      <c r="D14" s="937">
        <v>0</v>
      </c>
      <c r="E14" s="934">
        <f t="shared" si="0"/>
        <v>37006030.630000003</v>
      </c>
      <c r="F14" s="934"/>
      <c r="G14" s="937">
        <v>442321435.55000001</v>
      </c>
      <c r="H14" s="937">
        <v>0</v>
      </c>
      <c r="I14" s="934">
        <f>G14+H14</f>
        <v>442321435.55000001</v>
      </c>
      <c r="J14" s="1920"/>
      <c r="K14" s="1921"/>
      <c r="M14" s="1920"/>
      <c r="N14" s="1921"/>
      <c r="O14" s="2045"/>
    </row>
    <row r="15" spans="1:15" s="1328" customFormat="1" ht="15.5">
      <c r="A15" s="1326" t="s">
        <v>1392</v>
      </c>
      <c r="B15" s="1327"/>
      <c r="C15" s="937">
        <v>77654384.950000003</v>
      </c>
      <c r="D15" s="937">
        <v>0</v>
      </c>
      <c r="E15" s="934">
        <f t="shared" si="0"/>
        <v>77654384.950000003</v>
      </c>
      <c r="F15" s="934"/>
      <c r="G15" s="937">
        <v>735029468.73000002</v>
      </c>
      <c r="H15" s="937">
        <v>0</v>
      </c>
      <c r="I15" s="934">
        <f t="shared" si="1"/>
        <v>735029468.73000002</v>
      </c>
      <c r="J15" s="1920"/>
      <c r="K15" s="1921"/>
      <c r="M15" s="1920"/>
      <c r="N15" s="1921"/>
      <c r="O15" s="2045"/>
    </row>
    <row r="16" spans="1:15" s="1328" customFormat="1" ht="15.5">
      <c r="A16" s="1326" t="s">
        <v>1393</v>
      </c>
      <c r="B16" s="1327"/>
      <c r="C16" s="937">
        <v>141666852.25</v>
      </c>
      <c r="D16" s="937">
        <v>0</v>
      </c>
      <c r="E16" s="934">
        <f t="shared" si="0"/>
        <v>141666852.25</v>
      </c>
      <c r="F16" s="934"/>
      <c r="G16" s="937">
        <v>1868180255.4400001</v>
      </c>
      <c r="H16" s="937">
        <v>0</v>
      </c>
      <c r="I16" s="934">
        <f t="shared" si="1"/>
        <v>1868180255.4400001</v>
      </c>
      <c r="J16" s="1920"/>
      <c r="K16" s="1921"/>
      <c r="M16" s="1920"/>
      <c r="N16" s="1921"/>
      <c r="O16" s="2045"/>
    </row>
    <row r="17" spans="1:15" s="1328" customFormat="1" ht="15.5">
      <c r="A17" s="1326" t="s">
        <v>1394</v>
      </c>
      <c r="B17" s="1327"/>
      <c r="C17" s="937">
        <v>2383876413.9699998</v>
      </c>
      <c r="D17" s="937">
        <v>0</v>
      </c>
      <c r="E17" s="934">
        <f t="shared" si="0"/>
        <v>2383876413.9699998</v>
      </c>
      <c r="F17" s="934"/>
      <c r="G17" s="937">
        <v>18407997248.799999</v>
      </c>
      <c r="H17" s="937">
        <v>0</v>
      </c>
      <c r="I17" s="934">
        <f t="shared" si="1"/>
        <v>18407997248.799999</v>
      </c>
      <c r="J17" s="1920"/>
      <c r="K17" s="1921"/>
      <c r="M17" s="1920"/>
      <c r="N17" s="1921"/>
      <c r="O17" s="2045"/>
    </row>
    <row r="18" spans="1:15" s="1328" customFormat="1" ht="15.5">
      <c r="A18" s="1326" t="s">
        <v>1395</v>
      </c>
      <c r="B18" s="1327"/>
      <c r="C18" s="937">
        <v>1839153721.96</v>
      </c>
      <c r="D18" s="937">
        <v>0</v>
      </c>
      <c r="E18" s="934">
        <f t="shared" si="0"/>
        <v>1839153721.96</v>
      </c>
      <c r="F18" s="934"/>
      <c r="G18" s="937">
        <v>16074173041.51</v>
      </c>
      <c r="H18" s="937">
        <v>0</v>
      </c>
      <c r="I18" s="934">
        <f t="shared" si="1"/>
        <v>16074173041.51</v>
      </c>
      <c r="J18" s="1920"/>
      <c r="K18" s="1921"/>
      <c r="M18" s="1920"/>
      <c r="N18" s="1921"/>
      <c r="O18" s="2045"/>
    </row>
    <row r="19" spans="1:15" s="1328" customFormat="1" ht="15.5">
      <c r="A19" s="1326" t="s">
        <v>1396</v>
      </c>
      <c r="B19" s="1327"/>
      <c r="C19" s="937">
        <v>564303182.73000002</v>
      </c>
      <c r="D19" s="937">
        <v>0</v>
      </c>
      <c r="E19" s="934">
        <f t="shared" si="0"/>
        <v>564303182.73000002</v>
      </c>
      <c r="F19" s="934"/>
      <c r="G19" s="937">
        <v>3919054542.3099999</v>
      </c>
      <c r="H19" s="937">
        <v>0</v>
      </c>
      <c r="I19" s="934">
        <f t="shared" si="1"/>
        <v>3919054542.3099999</v>
      </c>
      <c r="J19" s="1920"/>
      <c r="K19" s="1921"/>
      <c r="M19" s="1920"/>
      <c r="N19" s="1921"/>
      <c r="O19" s="2045"/>
    </row>
    <row r="20" spans="1:15" s="1328" customFormat="1" ht="15.5">
      <c r="A20" s="1326" t="s">
        <v>1397</v>
      </c>
      <c r="B20" s="1327"/>
      <c r="C20" s="937">
        <v>59906547.030000001</v>
      </c>
      <c r="D20" s="937">
        <v>0</v>
      </c>
      <c r="E20" s="934">
        <f t="shared" si="0"/>
        <v>59906547.030000001</v>
      </c>
      <c r="F20" s="934"/>
      <c r="G20" s="937">
        <v>736360404.41999996</v>
      </c>
      <c r="H20" s="937">
        <v>0</v>
      </c>
      <c r="I20" s="934">
        <f t="shared" si="1"/>
        <v>736360404.41999996</v>
      </c>
      <c r="J20" s="1920"/>
      <c r="K20" s="1921"/>
      <c r="M20" s="1920"/>
      <c r="N20" s="1921"/>
      <c r="O20" s="2045"/>
    </row>
    <row r="21" spans="1:15" s="1328" customFormat="1" ht="15.5">
      <c r="A21" s="1326" t="s">
        <v>1398</v>
      </c>
      <c r="B21" s="1327"/>
      <c r="C21" s="937">
        <v>443822.22000000003</v>
      </c>
      <c r="D21" s="937">
        <v>0</v>
      </c>
      <c r="E21" s="934">
        <f t="shared" si="0"/>
        <v>443822.22000000003</v>
      </c>
      <c r="F21" s="934"/>
      <c r="G21" s="937">
        <v>5873111.5099999998</v>
      </c>
      <c r="H21" s="937">
        <v>0</v>
      </c>
      <c r="I21" s="934">
        <f t="shared" si="1"/>
        <v>5873111.5099999998</v>
      </c>
      <c r="J21" s="1920"/>
      <c r="K21" s="1921"/>
      <c r="M21" s="1920"/>
      <c r="N21" s="1921"/>
      <c r="O21" s="2045"/>
    </row>
    <row r="22" spans="1:15" s="1328" customFormat="1" ht="15.5">
      <c r="A22" s="1326" t="s">
        <v>1418</v>
      </c>
      <c r="B22" s="1327"/>
      <c r="C22" s="937">
        <v>207601855.34999999</v>
      </c>
      <c r="D22" s="937">
        <v>2170119</v>
      </c>
      <c r="E22" s="934">
        <f t="shared" si="0"/>
        <v>209771974.34999999</v>
      </c>
      <c r="F22" s="934"/>
      <c r="G22" s="937">
        <v>2177629254.4200001</v>
      </c>
      <c r="H22" s="937">
        <v>27675276</v>
      </c>
      <c r="I22" s="934">
        <f t="shared" si="1"/>
        <v>2205304530.4200001</v>
      </c>
      <c r="J22" s="1920"/>
      <c r="K22" s="1921"/>
      <c r="M22" s="1920"/>
      <c r="N22" s="1921"/>
      <c r="O22" s="2045"/>
    </row>
    <row r="23" spans="1:15" s="1328" customFormat="1" ht="15.5">
      <c r="A23" s="1326" t="s">
        <v>1487</v>
      </c>
      <c r="B23" s="1327"/>
      <c r="C23" s="937">
        <v>0</v>
      </c>
      <c r="D23" s="937">
        <v>0</v>
      </c>
      <c r="E23" s="934">
        <f t="shared" si="0"/>
        <v>0</v>
      </c>
      <c r="F23" s="934"/>
      <c r="G23" s="937">
        <v>482290983.79000002</v>
      </c>
      <c r="H23" s="937">
        <v>0</v>
      </c>
      <c r="I23" s="934">
        <f t="shared" si="1"/>
        <v>482290983.79000002</v>
      </c>
      <c r="J23" s="1920"/>
      <c r="K23" s="1921"/>
      <c r="M23" s="1920"/>
      <c r="N23" s="1921"/>
      <c r="O23" s="2045"/>
    </row>
    <row r="24" spans="1:15" s="1328" customFormat="1" ht="15.5">
      <c r="A24" s="1326" t="s">
        <v>1400</v>
      </c>
      <c r="B24" s="1327"/>
      <c r="C24" s="937">
        <v>0</v>
      </c>
      <c r="D24" s="937">
        <v>0</v>
      </c>
      <c r="E24" s="934">
        <f>C24+D24</f>
        <v>0</v>
      </c>
      <c r="F24" s="934"/>
      <c r="G24" s="937">
        <v>1676604416.52</v>
      </c>
      <c r="H24" s="937">
        <v>0</v>
      </c>
      <c r="I24" s="934">
        <f t="shared" si="1"/>
        <v>1676604416.52</v>
      </c>
      <c r="J24" s="1920"/>
      <c r="K24" s="1921"/>
      <c r="M24" s="1920"/>
      <c r="N24" s="1921"/>
      <c r="O24" s="2045"/>
    </row>
    <row r="25" spans="1:15" s="1328" customFormat="1" ht="15.5">
      <c r="A25" s="1326" t="s">
        <v>1405</v>
      </c>
      <c r="B25" s="1327"/>
      <c r="C25" s="937">
        <v>91100000</v>
      </c>
      <c r="D25" s="937">
        <v>0</v>
      </c>
      <c r="E25" s="934">
        <f>C25</f>
        <v>91100000</v>
      </c>
      <c r="F25" s="934"/>
      <c r="G25" s="937">
        <v>385123842.01999998</v>
      </c>
      <c r="H25" s="937">
        <v>0</v>
      </c>
      <c r="I25" s="934">
        <f t="shared" si="1"/>
        <v>385123842.01999998</v>
      </c>
      <c r="J25" s="1920"/>
      <c r="K25" s="1921"/>
      <c r="M25" s="1920"/>
      <c r="N25" s="1921"/>
      <c r="O25" s="2045"/>
    </row>
    <row r="26" spans="1:15" s="1325" customFormat="1" ht="26.15" customHeight="1">
      <c r="A26" s="957" t="s">
        <v>1406</v>
      </c>
      <c r="B26" s="1324"/>
      <c r="C26" s="996">
        <f>SUM(C11:C25)</f>
        <v>5776938483.4200001</v>
      </c>
      <c r="D26" s="996">
        <f>SUM(D11:D25)</f>
        <v>26105102</v>
      </c>
      <c r="E26" s="996">
        <f>SUM(E11:E25)</f>
        <v>5803043585.4200001</v>
      </c>
      <c r="F26" s="997"/>
      <c r="G26" s="996">
        <f>SUM(G11:G25)</f>
        <v>50753330760.549988</v>
      </c>
      <c r="H26" s="996">
        <f>SUM(H11:H25)</f>
        <v>389318907.01999998</v>
      </c>
      <c r="I26" s="996">
        <f>SUM(I11:I25)</f>
        <v>51142649667.569992</v>
      </c>
      <c r="J26" s="1919"/>
      <c r="K26" s="1921"/>
      <c r="L26" s="1328"/>
      <c r="M26" s="1919"/>
      <c r="N26" s="1921"/>
      <c r="O26" s="2045"/>
    </row>
    <row r="27" spans="1:15" ht="6.65" customHeight="1">
      <c r="A27" s="1339"/>
      <c r="B27" s="1321"/>
      <c r="C27" s="2018"/>
      <c r="D27" s="2018"/>
      <c r="E27" s="2018"/>
      <c r="F27" s="2018"/>
      <c r="G27" s="2003"/>
      <c r="H27" s="2003"/>
      <c r="I27" s="2003"/>
      <c r="K27" s="2045"/>
      <c r="L27" s="1327"/>
      <c r="N27" s="2045"/>
      <c r="O27" s="2045"/>
    </row>
    <row r="28" spans="1:15" ht="42" customHeight="1">
      <c r="A28" s="1331" t="s">
        <v>1419</v>
      </c>
      <c r="B28" s="1321"/>
      <c r="C28" s="2019">
        <v>-633036405.90999997</v>
      </c>
      <c r="D28" s="2020">
        <v>0</v>
      </c>
      <c r="E28" s="937">
        <f t="shared" ref="E28" si="2">C28+D28</f>
        <v>-633036405.90999997</v>
      </c>
      <c r="F28" s="2021"/>
      <c r="G28" s="2022">
        <v>-2947517512.7199998</v>
      </c>
      <c r="H28" s="2022">
        <v>0</v>
      </c>
      <c r="I28" s="2023">
        <f>G28+H28</f>
        <v>-2947517512.7199998</v>
      </c>
      <c r="K28" s="1921"/>
      <c r="L28" s="1328"/>
    </row>
    <row r="29" spans="1:15" ht="15.65" customHeight="1">
      <c r="A29" s="1332"/>
      <c r="B29" s="1321"/>
      <c r="C29" s="2024"/>
      <c r="D29" s="2024"/>
      <c r="E29" s="2024"/>
      <c r="F29" s="2024"/>
      <c r="G29" s="2025"/>
      <c r="H29" s="2025"/>
      <c r="I29" s="2025"/>
      <c r="K29" s="2045"/>
      <c r="L29" s="1327"/>
    </row>
    <row r="30" spans="1:15" ht="18" thickBot="1">
      <c r="A30" s="1332" t="s">
        <v>1420</v>
      </c>
      <c r="B30" s="1321"/>
      <c r="C30" s="940">
        <f>+C26+C28</f>
        <v>5143902077.5100002</v>
      </c>
      <c r="D30" s="940">
        <f>+D26+D28</f>
        <v>26105102</v>
      </c>
      <c r="E30" s="940">
        <f>+E26+E28</f>
        <v>5170007179.5100002</v>
      </c>
      <c r="F30" s="950"/>
      <c r="G30" s="940">
        <f>+G26+G28</f>
        <v>47805813247.829987</v>
      </c>
      <c r="H30" s="940">
        <f>+H26+H28</f>
        <v>389318907.01999998</v>
      </c>
      <c r="I30" s="940">
        <f>+I26+I28</f>
        <v>48195132154.849991</v>
      </c>
      <c r="K30" s="1921"/>
      <c r="L30" s="1328"/>
    </row>
    <row r="31" spans="1:15" ht="15" thickTop="1">
      <c r="C31" s="2026"/>
      <c r="D31" s="2026"/>
      <c r="E31" s="2026"/>
      <c r="F31" s="2026"/>
      <c r="G31" s="2027"/>
      <c r="H31" s="1323"/>
      <c r="I31" s="1323"/>
    </row>
    <row r="32" spans="1:15" ht="16.399999999999999" customHeight="1">
      <c r="A32" s="1334" t="s">
        <v>1421</v>
      </c>
      <c r="C32" s="2028"/>
      <c r="D32" s="2029"/>
      <c r="E32" s="2028" t="s">
        <v>103</v>
      </c>
      <c r="F32" s="2026"/>
      <c r="G32" s="1997" t="s">
        <v>103</v>
      </c>
      <c r="H32" s="2013"/>
      <c r="I32" s="2013" t="s">
        <v>103</v>
      </c>
    </row>
    <row r="33" spans="1:9" ht="16.399999999999999" customHeight="1">
      <c r="A33" s="1335" t="s">
        <v>1410</v>
      </c>
      <c r="C33" s="2030"/>
      <c r="D33" s="2030"/>
      <c r="E33" s="2031"/>
      <c r="F33" s="2032"/>
      <c r="G33" s="1997"/>
      <c r="H33" s="1997"/>
      <c r="I33" s="2033" t="s">
        <v>103</v>
      </c>
    </row>
    <row r="34" spans="1:9" ht="14.9" customHeight="1">
      <c r="A34" s="1341" t="s">
        <v>1411</v>
      </c>
      <c r="C34" s="2002"/>
      <c r="D34" s="2004"/>
      <c r="E34" s="2034" t="s">
        <v>103</v>
      </c>
      <c r="F34" s="342"/>
      <c r="G34" s="2003" t="s">
        <v>103</v>
      </c>
      <c r="H34" s="2003"/>
      <c r="I34" s="2035"/>
    </row>
    <row r="35" spans="1:9" ht="16.399999999999999" customHeight="1">
      <c r="A35" s="1341" t="s">
        <v>1422</v>
      </c>
      <c r="C35" s="2028"/>
      <c r="D35" s="2026"/>
      <c r="E35" s="2028" t="s">
        <v>103</v>
      </c>
      <c r="F35" s="2026"/>
      <c r="G35" s="2003" t="s">
        <v>103</v>
      </c>
      <c r="H35" s="1323"/>
      <c r="I35" s="2013" t="s">
        <v>103</v>
      </c>
    </row>
    <row r="36" spans="1:9" ht="16.399999999999999" customHeight="1">
      <c r="A36" s="1341" t="s">
        <v>1423</v>
      </c>
      <c r="C36" s="2028"/>
      <c r="D36" s="2026"/>
      <c r="E36" s="2028" t="s">
        <v>103</v>
      </c>
      <c r="F36" s="2026"/>
      <c r="G36" s="2013" t="s">
        <v>103</v>
      </c>
      <c r="H36" s="1323"/>
      <c r="I36" s="2014" t="s">
        <v>103</v>
      </c>
    </row>
    <row r="37" spans="1:9">
      <c r="C37" s="2026"/>
      <c r="D37" s="2028"/>
      <c r="E37" s="2026"/>
      <c r="F37" s="2026"/>
      <c r="G37" s="2013"/>
      <c r="H37" s="1323"/>
      <c r="I37" s="1323"/>
    </row>
    <row r="38" spans="1:9" ht="15.5">
      <c r="C38" s="2019"/>
      <c r="D38" s="2020"/>
      <c r="E38" s="2036"/>
      <c r="F38" s="2021"/>
      <c r="G38" s="2022"/>
      <c r="H38" s="2022"/>
      <c r="I38" s="2023"/>
    </row>
    <row r="39" spans="1:9" ht="15.5">
      <c r="C39" s="2019"/>
      <c r="D39" s="2020"/>
      <c r="E39" s="2036"/>
      <c r="F39" s="2021"/>
      <c r="G39" s="2022"/>
      <c r="H39" s="2022"/>
      <c r="I39" s="2023"/>
    </row>
    <row r="40" spans="1:9">
      <c r="B40" s="1316"/>
      <c r="C40" s="2012"/>
      <c r="D40" s="2012"/>
      <c r="E40" s="2012"/>
      <c r="F40" s="2012"/>
      <c r="G40" s="1316"/>
      <c r="H40" s="1316"/>
      <c r="I40" s="1316"/>
    </row>
    <row r="41" spans="1:9">
      <c r="B41" s="1316"/>
      <c r="C41" s="2012"/>
      <c r="D41" s="2012"/>
      <c r="E41" s="2012"/>
      <c r="F41" s="2012"/>
      <c r="G41" s="1316"/>
      <c r="H41" s="1316"/>
      <c r="I41" s="1316"/>
    </row>
    <row r="42" spans="1:9">
      <c r="B42" s="1316"/>
      <c r="C42" s="2012"/>
      <c r="D42" s="2012"/>
      <c r="E42" s="2012"/>
      <c r="F42" s="2012"/>
      <c r="G42" s="1316"/>
      <c r="H42" s="1316"/>
      <c r="I42" s="1316"/>
    </row>
    <row r="43" spans="1:9">
      <c r="B43" s="1316"/>
      <c r="C43" s="2012"/>
      <c r="D43" s="2012"/>
      <c r="E43" s="2012"/>
      <c r="F43" s="2012"/>
      <c r="G43" s="1316"/>
      <c r="H43" s="1316"/>
      <c r="I43" s="1316"/>
    </row>
  </sheetData>
  <mergeCells count="2">
    <mergeCell ref="C7:E7"/>
    <mergeCell ref="G7:I7"/>
  </mergeCells>
  <printOptions horizontalCentered="1"/>
  <pageMargins left="0.17" right="0.18" top="0.5" bottom="0.27" header="0.23" footer="0.18"/>
  <pageSetup scale="60" firstPageNumber="59"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80" workbookViewId="0"/>
  </sheetViews>
  <sheetFormatPr defaultColWidth="8.69140625" defaultRowHeight="15.5"/>
  <cols>
    <col min="1" max="1" width="44.69140625" style="10" customWidth="1"/>
    <col min="2" max="2" width="13.69140625" style="10" customWidth="1"/>
    <col min="3" max="3" width="1.07421875" style="10" customWidth="1"/>
    <col min="4" max="4" width="13.69140625" style="10" customWidth="1"/>
    <col min="5" max="5" width="1.69140625" style="10" customWidth="1"/>
    <col min="6" max="6" width="13.69140625" style="10" customWidth="1"/>
    <col min="7" max="7" width="1.07421875" style="10" customWidth="1"/>
    <col min="8" max="8" width="13.69140625" style="10" customWidth="1"/>
    <col min="9" max="11" width="1.07421875" style="10" customWidth="1"/>
    <col min="12" max="12" width="13.69140625" style="10" customWidth="1"/>
    <col min="13" max="13" width="1.53515625" style="10" customWidth="1"/>
    <col min="14" max="14" width="13.69140625" style="10" customWidth="1"/>
    <col min="15" max="17" width="1.07421875" style="10" customWidth="1"/>
    <col min="18" max="18" width="13.69140625" style="10" customWidth="1"/>
    <col min="19" max="19" width="1.07421875" style="10" customWidth="1"/>
    <col min="20" max="20" width="13.69140625" style="10" customWidth="1"/>
    <col min="21" max="22" width="1.07421875" style="10" customWidth="1"/>
    <col min="23" max="23" width="13.69140625" style="10" customWidth="1"/>
    <col min="24" max="24" width="1.07421875" style="10" customWidth="1"/>
    <col min="25" max="25" width="13.69140625" style="10" customWidth="1"/>
    <col min="26" max="26" width="3.07421875" style="10" customWidth="1"/>
    <col min="27" max="16384" width="8.69140625" style="10"/>
  </cols>
  <sheetData>
    <row r="1" spans="1:26">
      <c r="A1" s="275" t="s">
        <v>97</v>
      </c>
    </row>
    <row r="2" spans="1:26">
      <c r="A2" s="364"/>
    </row>
    <row r="3" spans="1:26" s="5" customFormat="1" ht="18" customHeight="1">
      <c r="A3" s="3" t="s">
        <v>98</v>
      </c>
      <c r="B3" s="3"/>
      <c r="C3" s="3"/>
      <c r="D3" s="3"/>
      <c r="E3" s="3"/>
      <c r="F3" s="374"/>
      <c r="G3" s="374"/>
      <c r="H3" s="3"/>
      <c r="I3" s="3"/>
      <c r="J3" s="3"/>
      <c r="K3" s="3"/>
      <c r="L3" s="3"/>
      <c r="M3" s="3"/>
      <c r="N3" s="3"/>
      <c r="O3" s="3"/>
      <c r="P3" s="3"/>
      <c r="Q3" s="3"/>
      <c r="R3" s="910"/>
      <c r="S3" s="2113"/>
      <c r="T3" s="2113"/>
      <c r="U3" s="513"/>
      <c r="V3" s="513"/>
      <c r="W3" s="301"/>
      <c r="X3" s="364"/>
      <c r="Y3" s="2114" t="s">
        <v>206</v>
      </c>
      <c r="Z3" s="2114"/>
    </row>
    <row r="4" spans="1:26" s="5" customFormat="1">
      <c r="A4" s="3" t="s">
        <v>207</v>
      </c>
      <c r="B4" s="3"/>
      <c r="C4" s="3"/>
      <c r="D4" s="3"/>
      <c r="E4" s="3"/>
      <c r="F4" s="374"/>
      <c r="G4" s="374"/>
      <c r="H4" s="3"/>
      <c r="I4" s="3"/>
      <c r="J4" s="3"/>
      <c r="K4" s="3"/>
      <c r="L4" s="3"/>
      <c r="M4" s="3"/>
      <c r="N4" s="3"/>
      <c r="O4" s="3"/>
      <c r="P4" s="3"/>
      <c r="Q4" s="3"/>
      <c r="R4" s="3"/>
      <c r="S4" s="3"/>
      <c r="T4" s="3"/>
      <c r="U4" s="3"/>
      <c r="V4" s="3"/>
      <c r="W4" s="301"/>
      <c r="X4" s="364"/>
      <c r="Y4" s="364"/>
      <c r="Z4" s="364"/>
    </row>
    <row r="5" spans="1:26" s="5" customFormat="1" ht="15.75" customHeight="1">
      <c r="A5" s="1248" t="s">
        <v>158</v>
      </c>
      <c r="B5" s="3"/>
      <c r="C5" s="3"/>
      <c r="D5" s="3"/>
      <c r="E5" s="3"/>
      <c r="F5" s="374"/>
      <c r="G5" s="374"/>
      <c r="H5" s="3"/>
      <c r="I5" s="3"/>
      <c r="J5" s="3"/>
      <c r="K5" s="3"/>
      <c r="L5" s="3"/>
      <c r="M5" s="3"/>
      <c r="N5" s="3"/>
      <c r="O5" s="3"/>
      <c r="P5" s="3"/>
      <c r="Q5" s="3"/>
      <c r="R5" s="3"/>
      <c r="S5" s="3"/>
      <c r="T5" s="3" t="s">
        <v>103</v>
      </c>
      <c r="U5" s="3"/>
      <c r="V5" s="3"/>
      <c r="W5" s="301"/>
      <c r="X5" s="364"/>
      <c r="Y5" s="364"/>
      <c r="Z5" s="364"/>
    </row>
    <row r="6" spans="1:26" s="5" customFormat="1">
      <c r="A6" s="3" t="s">
        <v>102</v>
      </c>
      <c r="B6" s="3"/>
      <c r="C6" s="3"/>
      <c r="D6" s="3"/>
      <c r="E6" s="3"/>
      <c r="F6" s="374"/>
      <c r="G6" s="374"/>
      <c r="H6" s="3"/>
      <c r="I6" s="3"/>
      <c r="J6" s="3"/>
      <c r="K6" s="3"/>
      <c r="L6" s="3"/>
      <c r="M6" s="3"/>
      <c r="N6" s="3"/>
      <c r="O6" s="3"/>
      <c r="P6" s="3"/>
      <c r="Q6" s="3"/>
      <c r="R6" s="3"/>
      <c r="S6" s="3"/>
      <c r="T6" s="3"/>
      <c r="U6" s="3"/>
      <c r="V6" s="3"/>
      <c r="W6" s="301"/>
      <c r="X6" s="364"/>
      <c r="Y6" s="364"/>
      <c r="Z6" s="364"/>
    </row>
    <row r="7" spans="1:26" s="5" customFormat="1">
      <c r="A7" s="6"/>
      <c r="B7" s="3"/>
      <c r="C7" s="3"/>
      <c r="D7" s="3"/>
      <c r="E7" s="3"/>
      <c r="F7" s="374"/>
      <c r="G7" s="374"/>
      <c r="H7" s="3"/>
      <c r="I7" s="3"/>
      <c r="J7" s="3"/>
      <c r="K7" s="3"/>
      <c r="L7" s="3"/>
      <c r="M7" s="3"/>
      <c r="N7" s="3"/>
      <c r="O7" s="3"/>
      <c r="P7" s="3"/>
      <c r="Q7" s="3"/>
      <c r="R7" s="3"/>
      <c r="S7" s="3"/>
      <c r="T7" s="3"/>
      <c r="U7" s="3"/>
      <c r="V7" s="3"/>
      <c r="W7" s="301"/>
      <c r="X7" s="364"/>
      <c r="Y7" s="364"/>
      <c r="Z7" s="364"/>
    </row>
    <row r="8" spans="1:26" s="5" customFormat="1">
      <c r="A8" s="301"/>
      <c r="B8" s="3"/>
      <c r="C8" s="3"/>
      <c r="D8" s="3"/>
      <c r="E8" s="3"/>
      <c r="F8" s="374"/>
      <c r="G8" s="374"/>
      <c r="H8" s="3"/>
      <c r="I8" s="3"/>
      <c r="J8" s="3"/>
      <c r="K8" s="3"/>
      <c r="L8" s="3"/>
      <c r="M8" s="3"/>
      <c r="N8" s="3"/>
      <c r="O8" s="3"/>
      <c r="P8" s="3"/>
      <c r="Q8" s="3"/>
      <c r="R8" s="3"/>
      <c r="S8" s="3"/>
      <c r="T8" s="3"/>
      <c r="U8" s="3"/>
      <c r="V8" s="3"/>
      <c r="W8" s="301"/>
      <c r="X8" s="364"/>
      <c r="Y8" s="364"/>
      <c r="Z8" s="364"/>
    </row>
    <row r="9" spans="1:26" s="5" customFormat="1" ht="8.15" customHeight="1">
      <c r="A9" s="301"/>
      <c r="B9" s="3"/>
      <c r="C9" s="3"/>
      <c r="D9" s="3"/>
      <c r="E9" s="3"/>
      <c r="F9" s="3"/>
      <c r="G9" s="374"/>
      <c r="H9" s="3"/>
      <c r="I9" s="3"/>
      <c r="J9" s="3"/>
      <c r="K9" s="3"/>
      <c r="L9" s="3"/>
      <c r="M9" s="3"/>
      <c r="N9" s="3"/>
      <c r="O9" s="3"/>
      <c r="P9" s="3"/>
      <c r="Q9" s="3"/>
      <c r="R9" s="3"/>
      <c r="S9" s="3"/>
      <c r="T9" s="3"/>
      <c r="U9" s="3"/>
      <c r="V9" s="3"/>
      <c r="W9" s="301"/>
      <c r="X9" s="301"/>
      <c r="Y9" s="301"/>
      <c r="Z9" s="374"/>
    </row>
    <row r="10" spans="1:26" s="5" customFormat="1">
      <c r="A10" s="301"/>
      <c r="B10" s="3"/>
      <c r="C10" s="3"/>
      <c r="D10" s="3"/>
      <c r="E10" s="3"/>
      <c r="F10" s="3"/>
      <c r="G10" s="374"/>
      <c r="H10" s="3"/>
      <c r="I10" s="3"/>
      <c r="J10" s="3"/>
      <c r="K10" s="3"/>
      <c r="L10" s="3"/>
      <c r="M10" s="3"/>
      <c r="N10" s="3"/>
      <c r="O10" s="3"/>
      <c r="P10" s="3"/>
      <c r="Q10" s="3"/>
      <c r="R10" s="3"/>
      <c r="S10" s="3"/>
      <c r="T10" s="3"/>
      <c r="U10" s="3"/>
      <c r="V10" s="3"/>
      <c r="W10" s="301"/>
      <c r="X10" s="364"/>
      <c r="Y10" s="364"/>
      <c r="Z10" s="364"/>
    </row>
    <row r="11" spans="1:26" s="5" customFormat="1">
      <c r="A11" s="301"/>
      <c r="B11" s="3"/>
      <c r="C11" s="3"/>
      <c r="D11" s="3"/>
      <c r="E11" s="3"/>
      <c r="F11" s="3"/>
      <c r="G11" s="374"/>
      <c r="H11" s="3"/>
      <c r="I11" s="3"/>
      <c r="J11" s="3"/>
      <c r="K11" s="3"/>
      <c r="L11" s="301"/>
      <c r="M11" s="55"/>
      <c r="N11" s="514"/>
      <c r="O11" s="514"/>
      <c r="P11" s="514"/>
      <c r="Q11" s="1013"/>
      <c r="R11" s="55"/>
      <c r="S11" s="55"/>
      <c r="T11" s="55"/>
      <c r="U11" s="55"/>
      <c r="V11" s="55"/>
      <c r="W11" s="301"/>
      <c r="X11" s="364"/>
      <c r="Y11" s="364"/>
      <c r="Z11" s="364"/>
    </row>
    <row r="12" spans="1:26" ht="16.399999999999999" customHeight="1">
      <c r="A12" s="301"/>
      <c r="B12" s="55"/>
      <c r="C12" s="55" t="s">
        <v>208</v>
      </c>
      <c r="D12" s="55"/>
      <c r="E12" s="3"/>
      <c r="F12" s="55"/>
      <c r="G12" s="55" t="s">
        <v>209</v>
      </c>
      <c r="H12" s="55"/>
      <c r="I12" s="55"/>
      <c r="J12" s="55"/>
      <c r="K12" s="3"/>
      <c r="L12" s="55"/>
      <c r="M12" s="55"/>
      <c r="N12" s="514"/>
      <c r="O12" s="514"/>
      <c r="P12" s="514"/>
      <c r="Q12" s="55" t="s">
        <v>210</v>
      </c>
      <c r="R12" s="55"/>
      <c r="S12" s="55"/>
      <c r="T12" s="55"/>
      <c r="U12" s="55"/>
      <c r="V12" s="55"/>
      <c r="W12" s="1902" t="s">
        <v>211</v>
      </c>
      <c r="X12" s="709"/>
      <c r="Y12" s="709"/>
      <c r="Z12" s="8"/>
    </row>
    <row r="13" spans="1:26" ht="13.4" customHeight="1">
      <c r="A13" s="301"/>
      <c r="B13" s="1014"/>
      <c r="C13" s="1014"/>
      <c r="D13" s="1014"/>
      <c r="E13" s="301"/>
      <c r="F13" s="1014"/>
      <c r="G13" s="1015"/>
      <c r="H13" s="1014"/>
      <c r="I13" s="301"/>
      <c r="J13" s="301"/>
      <c r="K13" s="301"/>
      <c r="L13" s="1014"/>
      <c r="M13" s="1014"/>
      <c r="N13" s="1014"/>
      <c r="O13" s="1014"/>
      <c r="P13" s="1014"/>
      <c r="Q13" s="1014"/>
      <c r="R13" s="1014"/>
      <c r="S13" s="1014"/>
      <c r="T13" s="1014"/>
      <c r="U13" s="301"/>
      <c r="V13" s="413"/>
      <c r="W13" s="7"/>
      <c r="X13" s="9"/>
      <c r="Y13" s="9"/>
      <c r="Z13" s="9"/>
    </row>
    <row r="14" spans="1:26" ht="16.399999999999999" customHeight="1">
      <c r="A14" s="301"/>
      <c r="B14" s="55" t="s">
        <v>109</v>
      </c>
      <c r="C14" s="3"/>
      <c r="D14" s="55" t="str">
        <f>'Exhibit A'!F11</f>
        <v>11 MOS. ENDED</v>
      </c>
      <c r="E14" s="3"/>
      <c r="F14" s="55" t="s">
        <v>109</v>
      </c>
      <c r="G14" s="61"/>
      <c r="H14" s="55" t="str">
        <f>D14</f>
        <v>11 MOS. ENDED</v>
      </c>
      <c r="I14" s="55"/>
      <c r="J14" s="55"/>
      <c r="K14" s="3"/>
      <c r="L14" s="55" t="s">
        <v>109</v>
      </c>
      <c r="M14" s="3"/>
      <c r="N14" s="55" t="str">
        <f>D14</f>
        <v>11 MOS. ENDED</v>
      </c>
      <c r="O14" s="55"/>
      <c r="P14" s="55"/>
      <c r="Q14" s="3"/>
      <c r="R14" s="55" t="s">
        <v>109</v>
      </c>
      <c r="S14" s="3"/>
      <c r="T14" s="55" t="str">
        <f>H14</f>
        <v>11 MOS. ENDED</v>
      </c>
      <c r="U14" s="55"/>
      <c r="V14" s="405"/>
      <c r="W14" s="329" t="s">
        <v>110</v>
      </c>
      <c r="X14" s="61"/>
      <c r="Y14" s="330" t="s">
        <v>111</v>
      </c>
      <c r="Z14" s="9"/>
    </row>
    <row r="15" spans="1:26" ht="16.399999999999999" customHeight="1">
      <c r="A15" s="301"/>
      <c r="B15" s="1895" t="str">
        <f>'Exhibit A'!D12</f>
        <v>FEB. 2025</v>
      </c>
      <c r="C15" s="3"/>
      <c r="D15" s="1898" t="str">
        <f>'Exhibit A'!F12</f>
        <v>FEB. 28, 2025</v>
      </c>
      <c r="E15" s="3"/>
      <c r="F15" s="55" t="str">
        <f>B15</f>
        <v>FEB. 2025</v>
      </c>
      <c r="G15" s="3"/>
      <c r="H15" s="55" t="str">
        <f>D15</f>
        <v>FEB. 28, 2025</v>
      </c>
      <c r="I15" s="55"/>
      <c r="J15" s="55"/>
      <c r="K15" s="3"/>
      <c r="L15" s="55" t="str">
        <f>B15</f>
        <v>FEB. 2025</v>
      </c>
      <c r="M15" s="3"/>
      <c r="N15" s="55" t="str">
        <f>'Exhibit A'!X12</f>
        <v>FEB. 28, 2025</v>
      </c>
      <c r="O15" s="55"/>
      <c r="P15" s="55"/>
      <c r="Q15" s="3"/>
      <c r="R15" s="1252" t="str">
        <f>'Exhibit A'!AB12</f>
        <v>FEB. 2024</v>
      </c>
      <c r="S15" s="3"/>
      <c r="T15" s="1252" t="str">
        <f>'Exhibit A'!AD12</f>
        <v>FEB. 29, 2024</v>
      </c>
      <c r="U15" s="324"/>
      <c r="V15" s="406"/>
      <c r="W15" s="1251" t="s">
        <v>112</v>
      </c>
      <c r="X15" s="61"/>
      <c r="Y15" s="1016" t="s">
        <v>113</v>
      </c>
      <c r="Z15" s="9"/>
    </row>
    <row r="16" spans="1:26" ht="13.4" customHeight="1">
      <c r="A16" s="301"/>
      <c r="B16" s="1014"/>
      <c r="C16" s="301"/>
      <c r="D16" s="1014" t="s">
        <v>103</v>
      </c>
      <c r="E16" s="301"/>
      <c r="F16" s="1014"/>
      <c r="G16" s="301"/>
      <c r="H16" s="1015" t="s">
        <v>103</v>
      </c>
      <c r="I16" s="374"/>
      <c r="J16" s="1574"/>
      <c r="K16" s="301"/>
      <c r="L16" s="1014"/>
      <c r="M16" s="301"/>
      <c r="N16" s="1014"/>
      <c r="O16" s="301"/>
      <c r="P16" s="1575"/>
      <c r="Q16" s="301"/>
      <c r="R16" s="301"/>
      <c r="S16" s="301"/>
      <c r="T16" s="301"/>
      <c r="U16" s="301"/>
      <c r="V16" s="413"/>
      <c r="W16" s="7"/>
      <c r="X16" s="301"/>
      <c r="Y16" s="9"/>
      <c r="Z16" s="301"/>
    </row>
    <row r="17" spans="1:27" ht="16.399999999999999" customHeight="1">
      <c r="A17" s="3" t="s">
        <v>114</v>
      </c>
      <c r="B17" s="301"/>
      <c r="C17" s="301"/>
      <c r="D17" s="301"/>
      <c r="E17" s="301"/>
      <c r="F17" s="301"/>
      <c r="G17" s="301"/>
      <c r="H17" s="301"/>
      <c r="I17" s="301"/>
      <c r="J17" s="1575"/>
      <c r="K17" s="301"/>
      <c r="L17" s="301"/>
      <c r="M17" s="301"/>
      <c r="N17" s="301"/>
      <c r="O17" s="301"/>
      <c r="P17" s="1575"/>
      <c r="Q17" s="301"/>
      <c r="R17" s="301"/>
      <c r="S17" s="301"/>
      <c r="T17" s="301"/>
      <c r="U17" s="301"/>
      <c r="V17" s="413"/>
      <c r="W17" s="7"/>
      <c r="X17" s="301"/>
      <c r="Y17" s="9"/>
      <c r="Z17" s="301"/>
    </row>
    <row r="18" spans="1:27" ht="16.399999999999999" customHeight="1">
      <c r="A18" s="301" t="s">
        <v>119</v>
      </c>
      <c r="B18" s="284">
        <f>'Exhibit J'!W17</f>
        <v>373.80000000000018</v>
      </c>
      <c r="C18" s="284"/>
      <c r="D18" s="284">
        <f>+'Exhibit J'!AB17</f>
        <v>3340.8</v>
      </c>
      <c r="E18" s="284"/>
      <c r="F18" s="284">
        <f>'Exhibit K'!V17</f>
        <v>74.299999999999955</v>
      </c>
      <c r="G18" s="284"/>
      <c r="H18" s="284">
        <f>+'Exhibit K'!AA17</f>
        <v>588</v>
      </c>
      <c r="I18" s="284"/>
      <c r="J18" s="1576"/>
      <c r="K18" s="284"/>
      <c r="L18" s="284">
        <f>ROUND(SUM(B18)+SUM(F18),1)</f>
        <v>448.1</v>
      </c>
      <c r="M18" s="284"/>
      <c r="N18" s="284">
        <f>ROUND(SUM(D18)+SUM(H18),1)</f>
        <v>3928.8</v>
      </c>
      <c r="O18" s="284"/>
      <c r="P18" s="1576"/>
      <c r="Q18" s="284"/>
      <c r="R18" s="284">
        <v>340.59999999999997</v>
      </c>
      <c r="S18" s="284"/>
      <c r="T18" s="284">
        <f>'Exhibit J'!AE17+'Exhibit K'!AD17</f>
        <v>3504.8</v>
      </c>
      <c r="U18" s="284"/>
      <c r="V18" s="533"/>
      <c r="W18" s="284">
        <f>ROUND(SUM(N18-T18),1)</f>
        <v>424</v>
      </c>
      <c r="X18" s="390"/>
      <c r="Y18" s="293">
        <f>ROUND(+W18/T18,3)</f>
        <v>0.121</v>
      </c>
      <c r="Z18" s="390"/>
      <c r="AA18" s="1561"/>
    </row>
    <row r="19" spans="1:27" ht="16.399999999999999" customHeight="1">
      <c r="A19" s="360" t="s">
        <v>212</v>
      </c>
      <c r="B19" s="274">
        <f>'Exhibit J'!W18</f>
        <v>0.90000000000000036</v>
      </c>
      <c r="C19" s="274"/>
      <c r="D19" s="274">
        <f>+'Exhibit J'!AB18</f>
        <v>12.9</v>
      </c>
      <c r="E19" s="274"/>
      <c r="F19" s="285">
        <v>0</v>
      </c>
      <c r="G19" s="274"/>
      <c r="H19" s="285">
        <v>0</v>
      </c>
      <c r="I19" s="285"/>
      <c r="J19" s="1577"/>
      <c r="K19" s="274"/>
      <c r="L19" s="274">
        <f>ROUND(SUM(B19)+SUM(F19),1)</f>
        <v>0.9</v>
      </c>
      <c r="M19" s="274"/>
      <c r="N19" s="274">
        <f>ROUND(SUM(D19)+SUM(H19),1)</f>
        <v>12.9</v>
      </c>
      <c r="O19" s="274"/>
      <c r="P19" s="1017"/>
      <c r="Q19" s="274"/>
      <c r="R19" s="274">
        <v>1.6</v>
      </c>
      <c r="S19" s="274"/>
      <c r="T19" s="274">
        <f>'Exhibit J'!AE18</f>
        <v>23.6</v>
      </c>
      <c r="U19" s="274"/>
      <c r="V19" s="536"/>
      <c r="W19" s="274">
        <f>ROUND(SUM(N19-T19),1)</f>
        <v>-10.7</v>
      </c>
      <c r="X19" s="537"/>
      <c r="Y19" s="1100">
        <f>ROUND(+W19/T19,3)</f>
        <v>-0.45300000000000001</v>
      </c>
      <c r="Z19" s="278"/>
      <c r="AA19" s="1561"/>
    </row>
    <row r="20" spans="1:27" ht="16.399999999999999" customHeight="1">
      <c r="A20" s="301" t="s">
        <v>213</v>
      </c>
      <c r="B20" s="274">
        <f>'Exhibit J'!W19</f>
        <v>262.69999999999982</v>
      </c>
      <c r="C20" s="274"/>
      <c r="D20" s="274">
        <f>+'Exhibit J'!AB19</f>
        <v>2667.5</v>
      </c>
      <c r="E20" s="274"/>
      <c r="F20" s="285">
        <v>0</v>
      </c>
      <c r="G20" s="274"/>
      <c r="H20" s="285">
        <v>0</v>
      </c>
      <c r="I20" s="285"/>
      <c r="J20" s="1577"/>
      <c r="K20" s="274"/>
      <c r="L20" s="393">
        <f>ROUND(SUM(B20+F20),1)</f>
        <v>262.7</v>
      </c>
      <c r="M20" s="274"/>
      <c r="N20" s="274">
        <f>ROUND(SUM(D20)+SUM(H20),1)</f>
        <v>2667.5</v>
      </c>
      <c r="O20" s="274"/>
      <c r="P20" s="1017"/>
      <c r="Q20" s="274"/>
      <c r="R20" s="274">
        <v>271</v>
      </c>
      <c r="S20" s="377"/>
      <c r="T20" s="274">
        <f>'Exhibit J'!AE19</f>
        <v>2494.9</v>
      </c>
      <c r="U20" s="274"/>
      <c r="V20" s="536"/>
      <c r="W20" s="274">
        <f>ROUND(SUM(N20-T20),1)</f>
        <v>172.6</v>
      </c>
      <c r="X20" s="537"/>
      <c r="Y20" s="621">
        <f>ROUND(+W20/T20,3)</f>
        <v>6.9000000000000006E-2</v>
      </c>
      <c r="Z20" s="278"/>
      <c r="AA20" s="1561"/>
    </row>
    <row r="21" spans="1:27">
      <c r="A21" s="3" t="s">
        <v>121</v>
      </c>
      <c r="B21" s="1896">
        <f>ROUND(SUM(B18:B20),1)</f>
        <v>637.4</v>
      </c>
      <c r="C21" s="13"/>
      <c r="D21" s="1896">
        <f>ROUND(SUM(D18:D20),1)</f>
        <v>6021.2</v>
      </c>
      <c r="E21" s="13"/>
      <c r="F21" s="1896">
        <f>ROUND(SUM(F18:F20),1)</f>
        <v>74.3</v>
      </c>
      <c r="G21" s="13"/>
      <c r="H21" s="1896">
        <f>ROUND(SUM(H18:H20),1)</f>
        <v>588</v>
      </c>
      <c r="I21" s="13"/>
      <c r="J21" s="1578"/>
      <c r="K21" s="13"/>
      <c r="L21" s="1896">
        <f>SUM(L18:L20)</f>
        <v>711.7</v>
      </c>
      <c r="M21" s="13"/>
      <c r="N21" s="1896">
        <f>SUM(N18:N20)</f>
        <v>6609.2000000000007</v>
      </c>
      <c r="O21" s="13"/>
      <c r="P21" s="1578"/>
      <c r="Q21" s="13"/>
      <c r="R21" s="1896">
        <f>ROUND(SUM(R18:R20),1)</f>
        <v>613.20000000000005</v>
      </c>
      <c r="S21" s="13"/>
      <c r="T21" s="1896">
        <f>ROUND(SUM(T18:T20),1)</f>
        <v>6023.3</v>
      </c>
      <c r="U21" s="13"/>
      <c r="V21" s="103"/>
      <c r="W21" s="1896">
        <f>ROUND(SUM(W18:W20),1)</f>
        <v>585.9</v>
      </c>
      <c r="X21" s="278"/>
      <c r="Y21" s="1904">
        <f>ROUND(+W21/T21,3)</f>
        <v>9.7000000000000003E-2</v>
      </c>
      <c r="Z21" s="278"/>
      <c r="AA21" s="1561"/>
    </row>
    <row r="22" spans="1:27">
      <c r="A22" s="3"/>
      <c r="B22" s="274"/>
      <c r="C22" s="274"/>
      <c r="D22" s="274"/>
      <c r="E22" s="274"/>
      <c r="F22" s="274"/>
      <c r="G22" s="274"/>
      <c r="H22" s="274"/>
      <c r="I22" s="274"/>
      <c r="J22" s="1017"/>
      <c r="K22" s="274"/>
      <c r="L22" s="274"/>
      <c r="M22" s="274"/>
      <c r="N22" s="274"/>
      <c r="O22" s="274"/>
      <c r="P22" s="1017"/>
      <c r="Q22" s="274"/>
      <c r="R22" s="274"/>
      <c r="S22" s="274"/>
      <c r="T22" s="274"/>
      <c r="U22" s="274"/>
      <c r="V22" s="536"/>
      <c r="W22" s="374"/>
      <c r="X22" s="301"/>
      <c r="Y22" s="374"/>
      <c r="Z22" s="301"/>
      <c r="AA22" s="1561"/>
    </row>
    <row r="23" spans="1:27" ht="16.399999999999999" customHeight="1">
      <c r="A23" s="3" t="s">
        <v>122</v>
      </c>
      <c r="B23" s="274"/>
      <c r="C23" s="274"/>
      <c r="D23" s="274"/>
      <c r="E23" s="274"/>
      <c r="F23" s="274"/>
      <c r="G23" s="274"/>
      <c r="H23" s="274"/>
      <c r="I23" s="274"/>
      <c r="J23" s="1017"/>
      <c r="K23" s="274"/>
      <c r="L23" s="274"/>
      <c r="M23" s="274"/>
      <c r="N23" s="274"/>
      <c r="O23" s="274"/>
      <c r="P23" s="1017"/>
      <c r="Q23" s="274"/>
      <c r="R23" s="274"/>
      <c r="S23" s="274"/>
      <c r="T23" s="274"/>
      <c r="U23" s="274"/>
      <c r="V23" s="536"/>
      <c r="W23" s="374"/>
      <c r="X23" s="301"/>
      <c r="Y23" s="374"/>
      <c r="Z23" s="301"/>
      <c r="AA23" s="1561"/>
    </row>
    <row r="24" spans="1:27" ht="16.399999999999999" customHeight="1">
      <c r="A24" s="301" t="s">
        <v>135</v>
      </c>
      <c r="B24" s="274"/>
      <c r="C24" s="274"/>
      <c r="D24" s="274"/>
      <c r="E24" s="274"/>
      <c r="F24" s="274"/>
      <c r="G24" s="274"/>
      <c r="H24" s="274"/>
      <c r="I24" s="274"/>
      <c r="J24" s="1017"/>
      <c r="K24" s="274"/>
      <c r="L24" s="274"/>
      <c r="M24" s="274"/>
      <c r="N24" s="274"/>
      <c r="O24" s="274"/>
      <c r="P24" s="1017"/>
      <c r="Q24" s="274"/>
      <c r="R24" s="274"/>
      <c r="S24" s="274"/>
      <c r="T24" s="274"/>
      <c r="U24" s="274"/>
      <c r="V24" s="536"/>
      <c r="W24" s="374"/>
      <c r="X24" s="301"/>
      <c r="Y24" s="374"/>
      <c r="Z24" s="301"/>
      <c r="AA24" s="1561"/>
    </row>
    <row r="25" spans="1:27" ht="16.399999999999999" customHeight="1">
      <c r="A25" s="301" t="s">
        <v>214</v>
      </c>
      <c r="B25" s="274">
        <f>'Exhibit J'!W26</f>
        <v>139.39999999999986</v>
      </c>
      <c r="C25" s="274"/>
      <c r="D25" s="274">
        <f>+'Exhibit J'!AB26</f>
        <v>1684.3</v>
      </c>
      <c r="E25" s="274"/>
      <c r="F25" s="274">
        <f>'Exhibit K'!V24</f>
        <v>11</v>
      </c>
      <c r="G25" s="274"/>
      <c r="H25" s="274">
        <f>+'Exhibit K'!AA24</f>
        <v>130.30000000000001</v>
      </c>
      <c r="I25" s="274"/>
      <c r="J25" s="1017"/>
      <c r="K25" s="274"/>
      <c r="L25" s="274">
        <f>ROUND(SUM(B25)+SUM(F25),1)</f>
        <v>150.4</v>
      </c>
      <c r="M25" s="274"/>
      <c r="N25" s="274">
        <f>ROUND(SUM(D25)+SUM(H25),1)</f>
        <v>1814.6</v>
      </c>
      <c r="O25" s="274"/>
      <c r="P25" s="1017"/>
      <c r="Q25" s="274"/>
      <c r="R25" s="274">
        <v>144.9</v>
      </c>
      <c r="S25" s="274"/>
      <c r="T25" s="274">
        <f>'Exhibit J'!AE26+'Exhibit K'!AD24</f>
        <v>1721.6999999999998</v>
      </c>
      <c r="U25" s="274"/>
      <c r="V25" s="536"/>
      <c r="W25" s="274">
        <f>ROUND(SUM(N25-T25),1)</f>
        <v>92.9</v>
      </c>
      <c r="X25" s="278"/>
      <c r="Y25" s="621">
        <f>ROUND(+W25/T25,3)</f>
        <v>5.3999999999999999E-2</v>
      </c>
      <c r="Z25" s="301"/>
      <c r="AA25" s="1561"/>
    </row>
    <row r="26" spans="1:27" ht="16.399999999999999" customHeight="1">
      <c r="A26" s="301" t="s">
        <v>215</v>
      </c>
      <c r="B26" s="274">
        <f>'Exhibit J'!W27</f>
        <v>55.100000000000023</v>
      </c>
      <c r="C26" s="274"/>
      <c r="D26" s="274">
        <f>+'Exhibit J'!AB27</f>
        <v>691.7</v>
      </c>
      <c r="E26" s="274"/>
      <c r="F26" s="274">
        <f>'Exhibit K'!V25</f>
        <v>66.5</v>
      </c>
      <c r="G26" s="274"/>
      <c r="H26" s="274">
        <f>+'Exhibit K'!AA25</f>
        <v>530</v>
      </c>
      <c r="I26" s="274"/>
      <c r="J26" s="1017"/>
      <c r="K26" s="274"/>
      <c r="L26" s="274">
        <f>ROUND(SUM(B26)+SUM(F26),1)</f>
        <v>121.6</v>
      </c>
      <c r="M26" s="274"/>
      <c r="N26" s="274">
        <f>ROUND(SUM(D26)+SUM(H26),1)</f>
        <v>1221.7</v>
      </c>
      <c r="O26" s="274"/>
      <c r="P26" s="1017"/>
      <c r="Q26" s="274"/>
      <c r="R26" s="274">
        <v>78.2</v>
      </c>
      <c r="S26" s="274"/>
      <c r="T26" s="274">
        <f>'Exhibit J'!AE27+'Exhibit K'!AD25</f>
        <v>1047.8</v>
      </c>
      <c r="U26" s="274"/>
      <c r="V26" s="536"/>
      <c r="W26" s="274">
        <f>ROUND(SUM(N26-T26),1)</f>
        <v>173.9</v>
      </c>
      <c r="X26" s="278"/>
      <c r="Y26" s="621">
        <f>ROUND(+W26/T26,3)</f>
        <v>0.16600000000000001</v>
      </c>
      <c r="Z26" s="301"/>
      <c r="AA26" s="1561"/>
    </row>
    <row r="27" spans="1:27" ht="16.399999999999999" customHeight="1">
      <c r="A27" s="301" t="s">
        <v>216</v>
      </c>
      <c r="B27" s="274">
        <f>'Exhibit J'!W28</f>
        <v>59.299999999999955</v>
      </c>
      <c r="C27" s="274"/>
      <c r="D27" s="274">
        <f>+'Exhibit J'!AB28</f>
        <v>702.3</v>
      </c>
      <c r="E27" s="274"/>
      <c r="F27" s="274">
        <f>'Exhibit K'!V26</f>
        <v>5.3000000000000043</v>
      </c>
      <c r="G27" s="274"/>
      <c r="H27" s="274">
        <f>+'Exhibit K'!AA26</f>
        <v>59.2</v>
      </c>
      <c r="I27" s="274"/>
      <c r="J27" s="1017"/>
      <c r="K27" s="274"/>
      <c r="L27" s="274">
        <f>ROUND(SUM(B27)+SUM(F27),1)</f>
        <v>64.599999999999994</v>
      </c>
      <c r="M27" s="274"/>
      <c r="N27" s="274">
        <f>ROUND(SUM(D27)+SUM(H27),1)</f>
        <v>761.5</v>
      </c>
      <c r="O27" s="274"/>
      <c r="P27" s="1017"/>
      <c r="Q27" s="274"/>
      <c r="R27" s="274">
        <v>63.6</v>
      </c>
      <c r="S27" s="377"/>
      <c r="T27" s="274">
        <f>'Exhibit J'!AE28+'Exhibit K'!AD26</f>
        <v>723.59999999999991</v>
      </c>
      <c r="U27" s="274"/>
      <c r="V27" s="536"/>
      <c r="W27" s="274">
        <f>ROUND(SUM(N27-T27),1)</f>
        <v>37.9</v>
      </c>
      <c r="X27" s="278"/>
      <c r="Y27" s="621">
        <f>ROUND(+W27/T27,3)</f>
        <v>5.1999999999999998E-2</v>
      </c>
      <c r="Z27" s="301"/>
      <c r="AA27" s="1561"/>
    </row>
    <row r="28" spans="1:27" ht="15.75" customHeight="1">
      <c r="A28" s="360" t="s">
        <v>217</v>
      </c>
      <c r="B28" s="274">
        <f>'Exhibit J'!W29</f>
        <v>268</v>
      </c>
      <c r="C28" s="274"/>
      <c r="D28" s="274">
        <f>+'Exhibit J'!AB29</f>
        <v>2680.4</v>
      </c>
      <c r="E28" s="274"/>
      <c r="F28" s="285">
        <v>0</v>
      </c>
      <c r="G28" s="274"/>
      <c r="H28" s="856">
        <v>0</v>
      </c>
      <c r="I28" s="285"/>
      <c r="J28" s="1577"/>
      <c r="K28" s="274"/>
      <c r="L28" s="274">
        <f>ROUND(SUM(B28)+SUM(F28),1)</f>
        <v>268</v>
      </c>
      <c r="M28" s="377"/>
      <c r="N28" s="274">
        <f>ROUND(SUM(D28)+SUM(H28),1)</f>
        <v>2680.4</v>
      </c>
      <c r="O28" s="274"/>
      <c r="P28" s="1017"/>
      <c r="Q28" s="274"/>
      <c r="R28" s="274">
        <v>272.39999999999998</v>
      </c>
      <c r="S28" s="297"/>
      <c r="T28" s="2065">
        <f>'Exhibit J'!AE29</f>
        <v>2568.8000000000002</v>
      </c>
      <c r="U28" s="298"/>
      <c r="V28" s="538"/>
      <c r="W28" s="274">
        <f>ROUND(SUM(N28-T28),1)</f>
        <v>111.6</v>
      </c>
      <c r="X28" s="278"/>
      <c r="Y28" s="621">
        <f>ROUND(IF(T28=0,0,W28/ABS(T28)),3)</f>
        <v>4.2999999999999997E-2</v>
      </c>
      <c r="Z28" s="278"/>
      <c r="AA28" s="1561"/>
    </row>
    <row r="29" spans="1:27">
      <c r="A29" s="3" t="s">
        <v>162</v>
      </c>
      <c r="B29" s="1896">
        <f>ROUND(SUM(B25:B28),1)</f>
        <v>521.79999999999995</v>
      </c>
      <c r="C29" s="13"/>
      <c r="D29" s="1896">
        <f>ROUND(SUM(D25:D28),1)</f>
        <v>5758.7</v>
      </c>
      <c r="E29" s="13"/>
      <c r="F29" s="1896">
        <f>ROUND(SUM(F24:F28),1)</f>
        <v>82.8</v>
      </c>
      <c r="G29" s="13"/>
      <c r="H29" s="1896">
        <f>ROUND(SUM(H25:H28),1)</f>
        <v>719.5</v>
      </c>
      <c r="I29" s="13"/>
      <c r="J29" s="1578"/>
      <c r="K29" s="13"/>
      <c r="L29" s="1896">
        <f>ROUND(SUM(L25:L28),1)</f>
        <v>604.6</v>
      </c>
      <c r="M29" s="13"/>
      <c r="N29" s="1896">
        <f>ROUND(SUM(N25:N28),1)</f>
        <v>6478.2</v>
      </c>
      <c r="O29" s="13"/>
      <c r="P29" s="1578"/>
      <c r="Q29" s="13"/>
      <c r="R29" s="1896">
        <f>ROUND(SUM(R25:R28),1)</f>
        <v>559.1</v>
      </c>
      <c r="S29" s="13"/>
      <c r="T29" s="1896">
        <f>ROUND(SUM(T25:T28),1)</f>
        <v>6061.9</v>
      </c>
      <c r="U29" s="13"/>
      <c r="V29" s="103"/>
      <c r="W29" s="1896">
        <f>ROUND(SUM(W25:W28),1)</f>
        <v>416.3</v>
      </c>
      <c r="X29" s="278"/>
      <c r="Y29" s="1904">
        <f>ROUND(+W29/T29,3)</f>
        <v>6.9000000000000006E-2</v>
      </c>
      <c r="Z29" s="278"/>
      <c r="AA29" s="1561"/>
    </row>
    <row r="30" spans="1:27">
      <c r="A30" s="3"/>
      <c r="B30" s="274"/>
      <c r="C30" s="274"/>
      <c r="D30" s="274"/>
      <c r="E30" s="274"/>
      <c r="F30" s="274"/>
      <c r="G30" s="274"/>
      <c r="H30" s="274"/>
      <c r="I30" s="274"/>
      <c r="J30" s="1017"/>
      <c r="K30" s="274"/>
      <c r="L30" s="274"/>
      <c r="M30" s="274"/>
      <c r="N30" s="274"/>
      <c r="O30" s="274"/>
      <c r="P30" s="1017"/>
      <c r="Q30" s="274"/>
      <c r="R30" s="274"/>
      <c r="S30" s="274"/>
      <c r="T30" s="274"/>
      <c r="U30" s="274"/>
      <c r="V30" s="536"/>
      <c r="W30" s="374"/>
      <c r="X30" s="301"/>
      <c r="Y30" s="374"/>
      <c r="Z30" s="301"/>
      <c r="AA30" s="1561"/>
    </row>
    <row r="31" spans="1:27" ht="16.399999999999999" customHeight="1">
      <c r="A31" s="3" t="s">
        <v>143</v>
      </c>
      <c r="B31" s="274"/>
      <c r="C31" s="274"/>
      <c r="D31" s="274"/>
      <c r="E31" s="274"/>
      <c r="F31" s="274"/>
      <c r="G31" s="274"/>
      <c r="H31" s="274"/>
      <c r="I31" s="274"/>
      <c r="J31" s="1017"/>
      <c r="K31" s="274"/>
      <c r="L31" s="274"/>
      <c r="M31" s="274"/>
      <c r="N31" s="274"/>
      <c r="O31" s="274"/>
      <c r="P31" s="1017"/>
      <c r="Q31" s="274"/>
      <c r="R31" s="274"/>
      <c r="S31" s="274"/>
      <c r="T31" s="274"/>
      <c r="U31" s="274"/>
      <c r="V31" s="536"/>
      <c r="W31" s="374"/>
      <c r="X31" s="301"/>
      <c r="Y31" s="374"/>
      <c r="Z31" s="301"/>
      <c r="AA31" s="1561"/>
    </row>
    <row r="32" spans="1:27">
      <c r="A32" s="3" t="s">
        <v>218</v>
      </c>
      <c r="B32" s="1897">
        <f>ROUND(SUM(B21-B29),1)</f>
        <v>115.6</v>
      </c>
      <c r="C32" s="13"/>
      <c r="D32" s="367">
        <f>ROUND(SUM(D21-D29),1)</f>
        <v>262.5</v>
      </c>
      <c r="E32" s="13"/>
      <c r="F32" s="367">
        <f>ROUND(SUM(F21-F29),1)</f>
        <v>-8.5</v>
      </c>
      <c r="G32" s="13"/>
      <c r="H32" s="367">
        <f>ROUND(SUM(H21-H29),1)</f>
        <v>-131.5</v>
      </c>
      <c r="I32" s="13"/>
      <c r="J32" s="1578"/>
      <c r="K32" s="13"/>
      <c r="L32" s="367">
        <f>ROUND(SUM(L21-L29),1)</f>
        <v>107.1</v>
      </c>
      <c r="M32" s="13"/>
      <c r="N32" s="367">
        <f>ROUND(SUM(N21-N29),1)</f>
        <v>131</v>
      </c>
      <c r="O32" s="13"/>
      <c r="P32" s="1578"/>
      <c r="Q32" s="13"/>
      <c r="R32" s="367">
        <f>ROUND(SUM(R21-R29),1)</f>
        <v>54.1</v>
      </c>
      <c r="S32" s="13"/>
      <c r="T32" s="367">
        <f>ROUND(SUM(T21-T29),1)</f>
        <v>-38.6</v>
      </c>
      <c r="U32" s="13"/>
      <c r="V32" s="103"/>
      <c r="W32" s="367">
        <f>ROUND(SUM(W21-W29),1)</f>
        <v>169.6</v>
      </c>
      <c r="X32" s="301"/>
      <c r="Y32" s="1905">
        <f>-ROUND(+W32/T32,3)</f>
        <v>4.3940000000000001</v>
      </c>
      <c r="Z32" s="301"/>
      <c r="AA32" s="1561"/>
    </row>
    <row r="33" spans="1:27">
      <c r="A33" s="301"/>
      <c r="B33" s="274"/>
      <c r="C33" s="274"/>
      <c r="D33" s="274"/>
      <c r="E33" s="274"/>
      <c r="F33" s="274"/>
      <c r="G33" s="274"/>
      <c r="H33" s="274"/>
      <c r="I33" s="274"/>
      <c r="J33" s="1017"/>
      <c r="K33" s="274"/>
      <c r="L33" s="274"/>
      <c r="M33" s="274"/>
      <c r="N33" s="274"/>
      <c r="O33" s="274"/>
      <c r="P33" s="1017"/>
      <c r="Q33" s="274"/>
      <c r="R33" s="274"/>
      <c r="S33" s="274"/>
      <c r="T33" s="274"/>
      <c r="U33" s="274"/>
      <c r="V33" s="536"/>
      <c r="W33" s="374"/>
      <c r="X33" s="301"/>
      <c r="Y33" s="374"/>
      <c r="Z33" s="301"/>
      <c r="AA33" s="1561"/>
    </row>
    <row r="34" spans="1:27" ht="16.399999999999999" customHeight="1">
      <c r="A34" s="3" t="s">
        <v>145</v>
      </c>
      <c r="B34" s="274"/>
      <c r="C34" s="274"/>
      <c r="D34" s="274"/>
      <c r="E34" s="274"/>
      <c r="F34" s="274"/>
      <c r="G34" s="274"/>
      <c r="H34" s="274"/>
      <c r="I34" s="274"/>
      <c r="J34" s="1017"/>
      <c r="K34" s="274"/>
      <c r="L34" s="274"/>
      <c r="M34" s="274"/>
      <c r="N34" s="274"/>
      <c r="O34" s="274"/>
      <c r="P34" s="1017"/>
      <c r="Q34" s="274"/>
      <c r="R34" s="274"/>
      <c r="S34" s="274"/>
      <c r="T34" s="274"/>
      <c r="U34" s="274"/>
      <c r="V34" s="536"/>
      <c r="W34" s="374"/>
      <c r="X34" s="301"/>
      <c r="Y34" s="374"/>
      <c r="Z34" s="301"/>
      <c r="AA34" s="1561"/>
    </row>
    <row r="35" spans="1:27" ht="16.399999999999999" customHeight="1">
      <c r="A35" s="301" t="s">
        <v>147</v>
      </c>
      <c r="B35" s="285">
        <f>+'Exhibit J'!W39</f>
        <v>0</v>
      </c>
      <c r="C35" s="274"/>
      <c r="D35" s="285">
        <f>+'Exhibit J'!AB39</f>
        <v>0</v>
      </c>
      <c r="E35" s="274"/>
      <c r="F35" s="274">
        <f>'Exhibit K'!V36</f>
        <v>5.0999999999999943</v>
      </c>
      <c r="G35" s="297"/>
      <c r="H35" s="298">
        <f>+'Exhibit K'!AA36</f>
        <v>91.1</v>
      </c>
      <c r="I35" s="298"/>
      <c r="J35" s="1579"/>
      <c r="K35" s="274"/>
      <c r="L35" s="274">
        <f>ROUND(SUM(B35)+SUM(F35),1)</f>
        <v>5.0999999999999996</v>
      </c>
      <c r="M35" s="297"/>
      <c r="N35" s="274">
        <f>ROUND(SUM(D35)+SUM(H35),1)</f>
        <v>91.1</v>
      </c>
      <c r="O35" s="274"/>
      <c r="P35" s="1017"/>
      <c r="Q35" s="274"/>
      <c r="R35" s="274">
        <v>3</v>
      </c>
      <c r="S35" s="274"/>
      <c r="T35" s="299">
        <f>'Exhibit J'!AE39+'Exhibit K'!AD36</f>
        <v>54.7</v>
      </c>
      <c r="U35" s="299"/>
      <c r="V35" s="539"/>
      <c r="W35" s="274">
        <f>ROUND(SUM(N35-T35),1)</f>
        <v>36.4</v>
      </c>
      <c r="X35" s="278"/>
      <c r="Y35" s="1664">
        <f>ROUND(IF(W35=0,0,W35/(T35)),3)</f>
        <v>0.66500000000000004</v>
      </c>
      <c r="Z35" s="1018"/>
      <c r="AA35" s="1561"/>
    </row>
    <row r="36" spans="1:27" ht="16.399999999999999" customHeight="1">
      <c r="A36" s="301" t="s">
        <v>219</v>
      </c>
      <c r="B36" s="856">
        <f>+'Exhibit J'!W40</f>
        <v>0</v>
      </c>
      <c r="C36" s="377"/>
      <c r="D36" s="856">
        <f>+'Exhibit J'!AB40</f>
        <v>0</v>
      </c>
      <c r="E36" s="274"/>
      <c r="F36" s="274">
        <f>'Exhibit K'!V37</f>
        <v>0</v>
      </c>
      <c r="G36" s="274"/>
      <c r="H36" s="298">
        <f>+'Exhibit K'!AA37</f>
        <v>-8.6999999999999993</v>
      </c>
      <c r="I36" s="298"/>
      <c r="J36" s="1579"/>
      <c r="K36" s="274"/>
      <c r="L36" s="274">
        <f>ROUND(SUM(B36)+SUM(F36),1)</f>
        <v>0</v>
      </c>
      <c r="M36" s="274"/>
      <c r="N36" s="274">
        <f>ROUND(SUM(D36)+SUM(H36),1)</f>
        <v>-8.6999999999999993</v>
      </c>
      <c r="O36" s="274"/>
      <c r="P36" s="1017"/>
      <c r="Q36" s="274"/>
      <c r="R36" s="274">
        <v>-0.1</v>
      </c>
      <c r="S36" s="377"/>
      <c r="T36" s="299">
        <f>'Exhibit J'!AE40+'Exhibit K'!AD37</f>
        <v>-8</v>
      </c>
      <c r="U36" s="299"/>
      <c r="V36" s="539"/>
      <c r="W36" s="1903">
        <f>-ROUND(SUM(N36-T36),1)</f>
        <v>0.7</v>
      </c>
      <c r="X36" s="278"/>
      <c r="Y36" s="621">
        <f>ROUND(IF(T36=0,0,W36/ABS(T36)),3)</f>
        <v>8.7999999999999995E-2</v>
      </c>
      <c r="Z36" s="1019"/>
      <c r="AA36" s="1561"/>
    </row>
    <row r="37" spans="1:27">
      <c r="A37" s="3" t="s">
        <v>150</v>
      </c>
      <c r="B37" s="16">
        <f>ROUND(SUM(B35:B36),1)</f>
        <v>0</v>
      </c>
      <c r="C37" s="17"/>
      <c r="D37" s="16">
        <f>ROUND(SUM(D35:D36),1)</f>
        <v>0</v>
      </c>
      <c r="E37" s="13"/>
      <c r="F37" s="911">
        <f>ROUND(SUM(F35:F36),1)</f>
        <v>5.0999999999999996</v>
      </c>
      <c r="G37" s="18"/>
      <c r="H37" s="1899">
        <f>ROUND(SUM(H35:H36),1)</f>
        <v>82.4</v>
      </c>
      <c r="I37" s="26"/>
      <c r="J37" s="1580"/>
      <c r="K37" s="13"/>
      <c r="L37" s="911">
        <f>ROUND(SUM(L35:L36),1)</f>
        <v>5.0999999999999996</v>
      </c>
      <c r="M37" s="18"/>
      <c r="N37" s="1899">
        <f>ROUND(SUM(N35:N36),1)</f>
        <v>82.4</v>
      </c>
      <c r="O37" s="26"/>
      <c r="P37" s="1580"/>
      <c r="Q37" s="13"/>
      <c r="R37" s="911">
        <f>ROUND(SUM(R35:R36),1)</f>
        <v>2.9</v>
      </c>
      <c r="S37" s="13"/>
      <c r="T37" s="911">
        <f>ROUND(SUM(T35:T36),1)</f>
        <v>46.7</v>
      </c>
      <c r="U37" s="404"/>
      <c r="V37" s="407"/>
      <c r="W37" s="911">
        <f>N37-T37</f>
        <v>35.700000000000003</v>
      </c>
      <c r="X37" s="540"/>
      <c r="Y37" s="1020">
        <f>ROUND(SUM(W37/T37),3)</f>
        <v>0.76400000000000001</v>
      </c>
      <c r="Z37" s="540"/>
      <c r="AA37" s="1561"/>
    </row>
    <row r="38" spans="1:27">
      <c r="A38" s="3"/>
      <c r="B38" s="629"/>
      <c r="C38" s="274"/>
      <c r="D38" s="629"/>
      <c r="E38" s="274"/>
      <c r="F38" s="274"/>
      <c r="G38" s="274"/>
      <c r="H38" s="274"/>
      <c r="I38" s="274"/>
      <c r="J38" s="1017"/>
      <c r="K38" s="274"/>
      <c r="L38" s="274"/>
      <c r="M38" s="274"/>
      <c r="N38" s="629"/>
      <c r="O38" s="274"/>
      <c r="P38" s="1017"/>
      <c r="Q38" s="274"/>
      <c r="R38" s="274"/>
      <c r="S38" s="274"/>
      <c r="T38" s="274"/>
      <c r="U38" s="274"/>
      <c r="V38" s="536"/>
      <c r="W38" s="374"/>
      <c r="X38" s="301"/>
      <c r="Y38" s="364"/>
      <c r="Z38" s="301"/>
      <c r="AA38" s="1561"/>
    </row>
    <row r="39" spans="1:27" ht="15.75" customHeight="1">
      <c r="A39" s="3" t="s">
        <v>143</v>
      </c>
      <c r="B39" s="274"/>
      <c r="C39" s="274"/>
      <c r="D39" s="274"/>
      <c r="E39" s="274"/>
      <c r="F39" s="274"/>
      <c r="G39" s="274"/>
      <c r="H39" s="274"/>
      <c r="I39" s="274"/>
      <c r="J39" s="1017"/>
      <c r="K39" s="274"/>
      <c r="L39" s="274"/>
      <c r="M39" s="274"/>
      <c r="N39" s="274"/>
      <c r="O39" s="274"/>
      <c r="P39" s="1017"/>
      <c r="Q39" s="274"/>
      <c r="R39" s="274"/>
      <c r="S39" s="274"/>
      <c r="T39" s="274"/>
      <c r="U39" s="274"/>
      <c r="V39" s="536"/>
      <c r="W39" s="374"/>
      <c r="X39" s="301"/>
      <c r="Y39" s="364"/>
      <c r="Z39" s="301"/>
      <c r="AA39" s="1561"/>
    </row>
    <row r="40" spans="1:27" ht="15.75" customHeight="1">
      <c r="A40" s="3" t="s">
        <v>220</v>
      </c>
      <c r="B40" s="274"/>
      <c r="C40" s="274"/>
      <c r="D40" s="274"/>
      <c r="E40" s="274"/>
      <c r="F40" s="274"/>
      <c r="G40" s="274"/>
      <c r="H40" s="274"/>
      <c r="I40" s="274"/>
      <c r="J40" s="1017"/>
      <c r="K40" s="274"/>
      <c r="L40" s="274"/>
      <c r="M40" s="274"/>
      <c r="N40" s="274"/>
      <c r="O40" s="274"/>
      <c r="P40" s="1017"/>
      <c r="Q40" s="274"/>
      <c r="R40" s="274"/>
      <c r="S40" s="274"/>
      <c r="T40" s="274"/>
      <c r="U40" s="274"/>
      <c r="V40" s="536"/>
      <c r="W40" s="374"/>
      <c r="X40" s="301"/>
      <c r="Y40" s="364"/>
      <c r="Z40" s="301"/>
      <c r="AA40" s="1561"/>
    </row>
    <row r="41" spans="1:27" ht="15.75" customHeight="1">
      <c r="A41" s="3" t="s">
        <v>221</v>
      </c>
      <c r="B41" s="274"/>
      <c r="C41" s="274"/>
      <c r="D41" s="274"/>
      <c r="E41" s="274"/>
      <c r="F41" s="274"/>
      <c r="G41" s="274"/>
      <c r="H41" s="274"/>
      <c r="I41" s="274"/>
      <c r="J41" s="1017"/>
      <c r="K41" s="274"/>
      <c r="L41" s="274"/>
      <c r="M41" s="274"/>
      <c r="N41" s="274"/>
      <c r="O41" s="274"/>
      <c r="P41" s="1017"/>
      <c r="Q41" s="274"/>
      <c r="R41" s="274"/>
      <c r="S41" s="274"/>
      <c r="T41" s="274"/>
      <c r="U41" s="274"/>
      <c r="V41" s="536"/>
      <c r="W41" s="374"/>
      <c r="X41" s="301"/>
      <c r="Y41" s="364"/>
      <c r="Z41" s="301"/>
      <c r="AA41" s="1561"/>
    </row>
    <row r="42" spans="1:27" ht="15.75" customHeight="1">
      <c r="A42" s="3" t="s">
        <v>222</v>
      </c>
      <c r="B42" s="19">
        <f>ROUND(SUM(B32,B37),1)</f>
        <v>115.6</v>
      </c>
      <c r="C42" s="13"/>
      <c r="D42" s="19">
        <f>ROUND(SUM(D32,D37),1)</f>
        <v>262.5</v>
      </c>
      <c r="E42" s="13"/>
      <c r="F42" s="19">
        <f>ROUND(SUM(F32,F37),1)</f>
        <v>-3.4</v>
      </c>
      <c r="G42" s="13"/>
      <c r="H42" s="19">
        <f>ROUND(SUM(H32,H37),1)</f>
        <v>-49.1</v>
      </c>
      <c r="I42" s="19"/>
      <c r="J42" s="1581"/>
      <c r="K42" s="13"/>
      <c r="L42" s="19">
        <f>ROUND(SUM(L32,L37),1)</f>
        <v>112.2</v>
      </c>
      <c r="M42" s="13"/>
      <c r="N42" s="19">
        <f>ROUND(SUM(N32,N37),1)</f>
        <v>213.4</v>
      </c>
      <c r="O42" s="19"/>
      <c r="P42" s="1581"/>
      <c r="Q42" s="13"/>
      <c r="R42" s="19">
        <f>ROUND(SUM(R32,R37),1)</f>
        <v>57</v>
      </c>
      <c r="S42" s="13"/>
      <c r="T42" s="19">
        <f>ROUND(SUM(T32,T37),1)</f>
        <v>8.1</v>
      </c>
      <c r="U42" s="19"/>
      <c r="V42" s="408"/>
      <c r="W42" s="19">
        <f>ROUND(SUM(W32,W37),1)</f>
        <v>205.3</v>
      </c>
      <c r="X42" s="3"/>
      <c r="Y42" s="1906">
        <f>ROUND(IF(T42=0,0,W42/ABS(T42)),3)</f>
        <v>25.346</v>
      </c>
      <c r="Z42" s="301"/>
      <c r="AA42" s="1561"/>
    </row>
    <row r="43" spans="1:27">
      <c r="A43" s="3"/>
      <c r="B43" s="274"/>
      <c r="C43" s="274"/>
      <c r="D43" s="274"/>
      <c r="E43" s="274"/>
      <c r="F43" s="274"/>
      <c r="G43" s="274"/>
      <c r="H43" s="274"/>
      <c r="I43" s="274"/>
      <c r="J43" s="1017"/>
      <c r="K43" s="274"/>
      <c r="L43" s="274"/>
      <c r="M43" s="274"/>
      <c r="N43" s="274"/>
      <c r="O43" s="274"/>
      <c r="P43" s="1017"/>
      <c r="Q43" s="274"/>
      <c r="R43" s="274"/>
      <c r="S43" s="274"/>
      <c r="T43" s="274"/>
      <c r="U43" s="274"/>
      <c r="V43" s="536"/>
      <c r="W43" s="374"/>
      <c r="X43" s="301"/>
      <c r="Y43" s="374"/>
      <c r="Z43" s="301"/>
      <c r="AA43" s="1561"/>
    </row>
    <row r="44" spans="1:27" s="15" customFormat="1">
      <c r="A44" s="3" t="s">
        <v>223</v>
      </c>
      <c r="B44" s="13">
        <f>+'Exhibit J'!W14</f>
        <v>794.9</v>
      </c>
      <c r="C44" s="13"/>
      <c r="D44" s="13">
        <f>+'Exhibit J'!AB14</f>
        <v>648</v>
      </c>
      <c r="E44" s="13"/>
      <c r="F44" s="2064">
        <f>+'Exhibit K'!V14</f>
        <v>-21.1</v>
      </c>
      <c r="G44" s="13"/>
      <c r="H44" s="13">
        <f>+'Exhibit K'!AA14</f>
        <v>24.6</v>
      </c>
      <c r="I44" s="13"/>
      <c r="J44" s="1578"/>
      <c r="K44" s="13"/>
      <c r="L44" s="13">
        <f>ROUND(SUM(B44)+SUM(F44),1)</f>
        <v>773.8</v>
      </c>
      <c r="M44" s="13"/>
      <c r="N44" s="13">
        <f>ROUND(SUM(D44)+SUM(H44),1)</f>
        <v>672.6</v>
      </c>
      <c r="O44" s="13"/>
      <c r="P44" s="1578"/>
      <c r="Q44" s="13"/>
      <c r="R44" s="1011">
        <v>419.90000000000003</v>
      </c>
      <c r="S44" s="13"/>
      <c r="T44" s="367">
        <f>'Exhibit J'!AE14+'Exhibit K'!AD14</f>
        <v>468.79999999999995</v>
      </c>
      <c r="U44" s="13"/>
      <c r="V44" s="103"/>
      <c r="W44" s="13">
        <f>ROUND(SUM(N44-T44),1)</f>
        <v>203.8</v>
      </c>
      <c r="X44" s="3"/>
      <c r="Y44" s="1907">
        <f>ROUND(SUM(W44/T44),3)</f>
        <v>0.435</v>
      </c>
      <c r="Z44" s="3"/>
      <c r="AA44" s="1562"/>
    </row>
    <row r="45" spans="1:27" ht="16" thickBot="1">
      <c r="A45" s="3" t="s">
        <v>224</v>
      </c>
      <c r="B45" s="1021">
        <f>ROUND(SUM(B42+B44),1)</f>
        <v>910.5</v>
      </c>
      <c r="C45" s="20"/>
      <c r="D45" s="1021">
        <f>ROUND(SUM(D42+D44),1)</f>
        <v>910.5</v>
      </c>
      <c r="E45" s="20"/>
      <c r="F45" s="1021">
        <f>ROUND(SUM(F42+F44),1)</f>
        <v>-24.5</v>
      </c>
      <c r="G45" s="20"/>
      <c r="H45" s="1021">
        <f>ROUND(SUM(H42+H44),1)</f>
        <v>-24.5</v>
      </c>
      <c r="I45" s="20"/>
      <c r="J45" s="350"/>
      <c r="K45" s="20"/>
      <c r="L45" s="1021">
        <f>ROUND(SUM(L42+L44),1)</f>
        <v>886</v>
      </c>
      <c r="M45" s="20"/>
      <c r="N45" s="1900">
        <f>ROUND(SUM(N42+N44),1)</f>
        <v>886</v>
      </c>
      <c r="O45" s="20"/>
      <c r="P45" s="350"/>
      <c r="Q45" s="20"/>
      <c r="R45" s="688">
        <f>ROUND(SUM(R42+R44),1)</f>
        <v>476.9</v>
      </c>
      <c r="S45" s="20"/>
      <c r="T45" s="688">
        <f>ROUND(SUM(T42+T44),1)</f>
        <v>476.9</v>
      </c>
      <c r="U45" s="20"/>
      <c r="V45" s="99"/>
      <c r="W45" s="688">
        <f>ROUND(SUM(W42+W44),1)</f>
        <v>409.1</v>
      </c>
      <c r="X45" s="390"/>
      <c r="Y45" s="1022">
        <f>ROUND(SUM(W45/ABS(T45)),3)</f>
        <v>0.85799999999999998</v>
      </c>
      <c r="Z45" s="390"/>
      <c r="AA45" s="1561"/>
    </row>
    <row r="46" spans="1:27" ht="4.4000000000000004" customHeight="1" thickTop="1">
      <c r="A46" s="301"/>
      <c r="B46" s="421"/>
      <c r="C46" s="390"/>
      <c r="D46" s="421"/>
      <c r="E46" s="390"/>
      <c r="F46" s="421"/>
      <c r="G46" s="390"/>
      <c r="H46" s="421"/>
      <c r="I46" s="390"/>
      <c r="J46" s="390"/>
      <c r="K46" s="390"/>
      <c r="L46" s="421"/>
      <c r="M46" s="390"/>
      <c r="N46" s="421"/>
      <c r="O46" s="390"/>
      <c r="P46" s="390"/>
      <c r="Q46" s="390"/>
      <c r="R46" s="390"/>
      <c r="S46" s="390"/>
      <c r="T46" s="390"/>
      <c r="U46" s="390"/>
      <c r="V46" s="390"/>
      <c r="W46" s="390"/>
      <c r="X46" s="415"/>
      <c r="Y46" s="415"/>
      <c r="Z46" s="22"/>
    </row>
    <row r="47" spans="1:27">
      <c r="A47" s="301"/>
      <c r="B47" s="7" t="s">
        <v>103</v>
      </c>
      <c r="C47" s="7"/>
      <c r="D47" s="7"/>
      <c r="E47" s="7"/>
      <c r="F47" s="23"/>
      <c r="G47" s="7"/>
      <c r="H47" s="7"/>
      <c r="I47" s="7"/>
      <c r="J47" s="7"/>
      <c r="K47" s="7"/>
      <c r="L47" s="7"/>
      <c r="M47" s="7"/>
      <c r="N47" s="7"/>
      <c r="O47" s="7"/>
      <c r="P47" s="7"/>
      <c r="Q47" s="7"/>
      <c r="R47" s="1901"/>
      <c r="S47" s="7"/>
      <c r="T47" s="7"/>
      <c r="U47" s="7"/>
      <c r="V47" s="7"/>
      <c r="W47" s="7"/>
      <c r="X47" s="9"/>
      <c r="Y47" s="9"/>
      <c r="Z47" s="9"/>
    </row>
    <row r="48" spans="1:27" s="24" customFormat="1" ht="16.5" customHeight="1">
      <c r="A48" s="423"/>
      <c r="B48" s="24" t="s">
        <v>103</v>
      </c>
    </row>
    <row r="49" spans="1:25">
      <c r="A49" s="301"/>
      <c r="B49" s="11" t="s">
        <v>103</v>
      </c>
      <c r="C49" s="7"/>
      <c r="D49" s="7"/>
      <c r="E49" s="7"/>
      <c r="F49" s="7"/>
      <c r="G49" s="7"/>
      <c r="H49" s="7"/>
      <c r="I49" s="7"/>
      <c r="J49" s="7"/>
      <c r="K49" s="7"/>
      <c r="L49" s="7"/>
      <c r="M49" s="7"/>
      <c r="N49" s="7"/>
      <c r="O49" s="7"/>
      <c r="P49" s="7"/>
      <c r="Q49" s="7"/>
      <c r="R49" s="1901"/>
      <c r="S49" s="7"/>
      <c r="T49" s="1901"/>
      <c r="U49" s="7"/>
      <c r="V49" s="7"/>
      <c r="W49" s="7"/>
      <c r="X49" s="7"/>
      <c r="Y49" s="7"/>
    </row>
    <row r="50" spans="1:25">
      <c r="A50" s="301"/>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301"/>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301"/>
      <c r="B52" s="7"/>
      <c r="C52" s="7"/>
      <c r="D52" s="7"/>
      <c r="E52" s="7"/>
      <c r="F52" s="7"/>
      <c r="G52" s="7"/>
      <c r="H52" s="7"/>
      <c r="I52" s="7"/>
      <c r="J52" s="7"/>
      <c r="K52" s="7"/>
      <c r="L52" s="7"/>
      <c r="M52" s="7"/>
      <c r="N52" s="7"/>
      <c r="O52" s="7"/>
      <c r="P52" s="7"/>
      <c r="Q52" s="7"/>
      <c r="R52" s="7"/>
      <c r="S52" s="7"/>
      <c r="T52" s="7"/>
      <c r="U52" s="7"/>
      <c r="V52" s="7"/>
      <c r="W52" s="7"/>
      <c r="X52" s="7"/>
      <c r="Y52" s="7"/>
    </row>
    <row r="53" spans="1:25">
      <c r="A53" s="374"/>
    </row>
    <row r="54" spans="1:25">
      <c r="A54" s="374"/>
    </row>
    <row r="55" spans="1:25">
      <c r="A55" s="374"/>
    </row>
    <row r="56" spans="1:25">
      <c r="A56" s="374"/>
    </row>
    <row r="57" spans="1:25">
      <c r="A57" s="374"/>
    </row>
  </sheetData>
  <mergeCells count="2">
    <mergeCell ref="S3:T3"/>
    <mergeCell ref="Y3:Z3"/>
  </mergeCells>
  <printOptions horizontalCentered="1"/>
  <pageMargins left="0.25" right="0.25" top="0.5" bottom="0.36" header="0" footer="0.25"/>
  <pageSetup scale="56" firstPageNumber="6"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69140625" defaultRowHeight="15.5"/>
  <cols>
    <col min="1" max="1" width="38.07421875" style="374" customWidth="1"/>
    <col min="2" max="2" width="13.69140625" style="374" customWidth="1"/>
    <col min="3" max="3" width="1.07421875" style="374" customWidth="1"/>
    <col min="4" max="4" width="13.69140625" style="374" customWidth="1"/>
    <col min="5" max="5" width="1.69140625" style="374" customWidth="1"/>
    <col min="6" max="6" width="13.69140625" style="374" customWidth="1"/>
    <col min="7" max="7" width="1.07421875" style="374" customWidth="1"/>
    <col min="8" max="8" width="13.69140625" style="374" customWidth="1"/>
    <col min="9" max="11" width="1.07421875" style="374" customWidth="1"/>
    <col min="12" max="12" width="13.69140625" style="374" customWidth="1"/>
    <col min="13" max="13" width="1.69140625" style="374" customWidth="1"/>
    <col min="14" max="14" width="13.69140625" style="374" customWidth="1"/>
    <col min="15" max="17" width="1.07421875" style="374" customWidth="1"/>
    <col min="18" max="18" width="13.69140625" style="374" customWidth="1"/>
    <col min="19" max="19" width="1.07421875" style="374" customWidth="1"/>
    <col min="20" max="20" width="13.69140625" style="374" customWidth="1"/>
    <col min="21" max="22" width="1.07421875" style="374" customWidth="1"/>
    <col min="23" max="23" width="13.69140625" style="374" customWidth="1"/>
    <col min="24" max="24" width="1.07421875" style="374" customWidth="1"/>
    <col min="25" max="25" width="13.69140625" style="374" customWidth="1"/>
    <col min="26" max="26" width="9.07421875" style="1567" bestFit="1" customWidth="1"/>
    <col min="27" max="27" width="8.69140625" style="1147"/>
    <col min="28" max="16384" width="8.69140625" style="374"/>
  </cols>
  <sheetData>
    <row r="1" spans="1:27">
      <c r="A1" s="275" t="s">
        <v>97</v>
      </c>
    </row>
    <row r="2" spans="1:27">
      <c r="A2" s="364"/>
    </row>
    <row r="3" spans="1:27" s="301" customFormat="1" ht="18" customHeight="1">
      <c r="A3" s="3" t="s">
        <v>98</v>
      </c>
      <c r="B3" s="3"/>
      <c r="C3" s="3"/>
      <c r="D3" s="3"/>
      <c r="E3" s="3"/>
      <c r="F3" s="374"/>
      <c r="G3" s="374"/>
      <c r="H3" s="3"/>
      <c r="I3" s="3"/>
      <c r="J3" s="3"/>
      <c r="K3" s="3"/>
      <c r="L3" s="3"/>
      <c r="M3" s="3"/>
      <c r="N3" s="3"/>
      <c r="O3" s="3"/>
      <c r="P3" s="3"/>
      <c r="Q3" s="3"/>
      <c r="R3" s="910"/>
      <c r="V3" s="364"/>
      <c r="W3" s="364"/>
      <c r="X3" s="364"/>
      <c r="Y3" s="1247" t="s">
        <v>225</v>
      </c>
      <c r="Z3" s="1564"/>
      <c r="AA3" s="1563"/>
    </row>
    <row r="4" spans="1:27" s="301" customFormat="1" ht="15.75" customHeight="1">
      <c r="A4" s="3" t="s">
        <v>226</v>
      </c>
      <c r="B4" s="3"/>
      <c r="C4" s="3"/>
      <c r="D4" s="3"/>
      <c r="E4" s="3"/>
      <c r="F4" s="374"/>
      <c r="G4" s="374"/>
      <c r="H4" s="3"/>
      <c r="I4" s="3"/>
      <c r="J4" s="3"/>
      <c r="K4" s="3"/>
      <c r="L4" s="3"/>
      <c r="M4" s="3"/>
      <c r="N4" s="3"/>
      <c r="O4" s="3"/>
      <c r="P4" s="3"/>
      <c r="Q4" s="3"/>
      <c r="R4" s="3"/>
      <c r="S4" s="3"/>
      <c r="T4" s="3"/>
      <c r="V4" s="364"/>
      <c r="W4" s="364"/>
      <c r="X4" s="364"/>
      <c r="Y4" s="364"/>
      <c r="Z4" s="1564"/>
      <c r="AA4" s="1563"/>
    </row>
    <row r="5" spans="1:27" s="301" customFormat="1" ht="15.75" customHeight="1">
      <c r="A5" s="1248" t="s">
        <v>101</v>
      </c>
      <c r="B5" s="3"/>
      <c r="C5" s="3"/>
      <c r="D5" s="3"/>
      <c r="E5" s="3"/>
      <c r="F5" s="374"/>
      <c r="G5" s="374"/>
      <c r="H5" s="3"/>
      <c r="I5" s="3"/>
      <c r="J5" s="3"/>
      <c r="K5" s="3"/>
      <c r="L5" s="3"/>
      <c r="M5" s="3"/>
      <c r="N5" s="3"/>
      <c r="O5" s="3"/>
      <c r="P5" s="3"/>
      <c r="Q5" s="3"/>
      <c r="R5" s="3"/>
      <c r="S5" s="3"/>
      <c r="T5" s="3" t="s">
        <v>103</v>
      </c>
      <c r="V5" s="364"/>
      <c r="W5" s="364"/>
      <c r="X5" s="364"/>
      <c r="Y5" s="364"/>
      <c r="Z5" s="1564"/>
      <c r="AA5" s="1563"/>
    </row>
    <row r="6" spans="1:27" s="301" customFormat="1" ht="15.75" customHeight="1">
      <c r="A6" s="3" t="s">
        <v>102</v>
      </c>
      <c r="B6" s="3"/>
      <c r="C6" s="3"/>
      <c r="D6" s="3"/>
      <c r="E6" s="3"/>
      <c r="F6" s="374"/>
      <c r="G6" s="374"/>
      <c r="H6" s="3"/>
      <c r="I6" s="3"/>
      <c r="J6" s="3"/>
      <c r="K6" s="3"/>
      <c r="L6" s="3"/>
      <c r="M6" s="3"/>
      <c r="N6" s="3"/>
      <c r="O6" s="3"/>
      <c r="P6" s="3"/>
      <c r="Q6" s="3"/>
      <c r="R6" s="3"/>
      <c r="S6" s="3"/>
      <c r="T6" s="3"/>
      <c r="V6" s="364"/>
      <c r="W6" s="364"/>
      <c r="X6" s="364"/>
      <c r="Y6" s="364"/>
      <c r="Z6" s="1564"/>
      <c r="AA6" s="1563"/>
    </row>
    <row r="7" spans="1:27" s="301" customFormat="1">
      <c r="A7" s="6"/>
      <c r="B7" s="3"/>
      <c r="C7" s="3"/>
      <c r="D7" s="3"/>
      <c r="E7" s="3"/>
      <c r="F7" s="374"/>
      <c r="G7" s="374"/>
      <c r="H7" s="3"/>
      <c r="I7" s="3"/>
      <c r="J7" s="3"/>
      <c r="K7" s="3"/>
      <c r="L7" s="3"/>
      <c r="M7" s="3"/>
      <c r="N7" s="3"/>
      <c r="O7" s="3"/>
      <c r="P7" s="3"/>
      <c r="Q7" s="3"/>
      <c r="R7" s="3"/>
      <c r="S7" s="3"/>
      <c r="T7" s="3"/>
      <c r="V7" s="364"/>
      <c r="W7" s="364"/>
      <c r="X7" s="364"/>
      <c r="Y7" s="364"/>
      <c r="Z7" s="1564"/>
      <c r="AA7" s="1563"/>
    </row>
    <row r="8" spans="1:27" s="301" customFormat="1">
      <c r="B8" s="3"/>
      <c r="C8" s="3"/>
      <c r="D8" s="3"/>
      <c r="E8" s="3"/>
      <c r="F8" s="374"/>
      <c r="G8" s="374"/>
      <c r="H8" s="3"/>
      <c r="I8" s="3"/>
      <c r="J8" s="3"/>
      <c r="K8" s="3"/>
      <c r="L8" s="3"/>
      <c r="M8" s="3"/>
      <c r="N8" s="3"/>
      <c r="O8" s="3"/>
      <c r="P8" s="3"/>
      <c r="Q8" s="3"/>
      <c r="R8" s="3"/>
      <c r="S8" s="3"/>
      <c r="T8" s="3"/>
      <c r="V8" s="364"/>
      <c r="W8" s="364"/>
      <c r="X8" s="364"/>
      <c r="Y8" s="364"/>
      <c r="Z8" s="1564"/>
      <c r="AA8" s="1563"/>
    </row>
    <row r="9" spans="1:27" s="301" customFormat="1" ht="8.15" customHeight="1">
      <c r="B9" s="3"/>
      <c r="C9" s="3"/>
      <c r="D9" s="3"/>
      <c r="E9" s="3"/>
      <c r="F9" s="3"/>
      <c r="G9" s="374"/>
      <c r="H9" s="3"/>
      <c r="I9" s="3"/>
      <c r="J9" s="3"/>
      <c r="K9" s="3"/>
      <c r="L9" s="3"/>
      <c r="M9" s="3"/>
      <c r="N9" s="3"/>
      <c r="O9" s="3"/>
      <c r="P9" s="3"/>
      <c r="Q9" s="3"/>
      <c r="R9" s="3"/>
      <c r="S9" s="3"/>
      <c r="T9" s="3"/>
      <c r="X9" s="374"/>
      <c r="Y9" s="374"/>
      <c r="Z9" s="1567"/>
      <c r="AA9" s="1147"/>
    </row>
    <row r="10" spans="1:27" s="301" customFormat="1">
      <c r="B10" s="3"/>
      <c r="C10" s="3"/>
      <c r="D10" s="3"/>
      <c r="E10" s="3"/>
      <c r="F10" s="3"/>
      <c r="G10" s="374"/>
      <c r="H10" s="3"/>
      <c r="I10" s="3"/>
      <c r="J10" s="3"/>
      <c r="K10" s="3"/>
      <c r="L10" s="3"/>
      <c r="M10" s="3"/>
      <c r="N10" s="3"/>
      <c r="O10" s="3"/>
      <c r="P10" s="3"/>
      <c r="Q10" s="3"/>
      <c r="R10" s="3"/>
      <c r="S10" s="3"/>
      <c r="T10" s="3"/>
      <c r="V10" s="364"/>
      <c r="W10" s="364"/>
      <c r="X10" s="364"/>
      <c r="Y10" s="364"/>
      <c r="Z10" s="1564"/>
      <c r="AA10" s="1563"/>
    </row>
    <row r="11" spans="1:27" s="301" customFormat="1">
      <c r="B11" s="3"/>
      <c r="C11" s="3"/>
      <c r="D11" s="3"/>
      <c r="E11" s="3"/>
      <c r="F11" s="3"/>
      <c r="G11" s="374"/>
      <c r="H11" s="3"/>
      <c r="I11" s="3"/>
      <c r="J11" s="3"/>
      <c r="K11" s="3"/>
      <c r="M11" s="25"/>
      <c r="N11" s="375"/>
      <c r="O11" s="375"/>
      <c r="P11" s="375"/>
      <c r="Q11" s="375"/>
      <c r="R11" s="25"/>
      <c r="S11" s="25"/>
      <c r="T11" s="25"/>
      <c r="V11" s="364"/>
      <c r="W11" s="364"/>
      <c r="X11" s="364"/>
      <c r="Y11" s="364"/>
      <c r="Z11" s="1564"/>
      <c r="AA11" s="1563"/>
    </row>
    <row r="12" spans="1:27" ht="16.399999999999999" customHeight="1">
      <c r="A12" s="301"/>
      <c r="B12" s="25" t="s">
        <v>227</v>
      </c>
      <c r="C12" s="410"/>
      <c r="D12" s="25"/>
      <c r="E12" s="3"/>
      <c r="F12" s="25" t="s">
        <v>228</v>
      </c>
      <c r="G12" s="410"/>
      <c r="H12" s="25"/>
      <c r="I12" s="25"/>
      <c r="J12" s="25"/>
      <c r="K12" s="3"/>
      <c r="L12" s="25" t="s">
        <v>229</v>
      </c>
      <c r="M12" s="25"/>
      <c r="N12" s="375"/>
      <c r="O12" s="375"/>
      <c r="P12" s="375"/>
      <c r="Q12" s="25"/>
      <c r="R12" s="25"/>
      <c r="S12" s="25"/>
      <c r="T12" s="25"/>
      <c r="U12" s="301"/>
      <c r="V12" s="411"/>
      <c r="W12" s="2115" t="s">
        <v>211</v>
      </c>
      <c r="X12" s="2115"/>
      <c r="Y12" s="2115"/>
      <c r="Z12" s="1564"/>
      <c r="AA12" s="1563"/>
    </row>
    <row r="13" spans="1:27" ht="13.4" customHeight="1">
      <c r="A13" s="301"/>
      <c r="B13" s="1014"/>
      <c r="C13" s="1014"/>
      <c r="D13" s="1014"/>
      <c r="E13" s="301"/>
      <c r="F13" s="1014"/>
      <c r="G13" s="1015"/>
      <c r="H13" s="1014"/>
      <c r="I13" s="301"/>
      <c r="J13" s="301"/>
      <c r="K13" s="301"/>
      <c r="L13" s="1014"/>
      <c r="M13" s="1014"/>
      <c r="N13" s="1014"/>
      <c r="O13" s="1014"/>
      <c r="P13" s="1014"/>
      <c r="Q13" s="1014"/>
      <c r="R13" s="1014"/>
      <c r="S13" s="1014"/>
      <c r="T13" s="1014"/>
      <c r="U13" s="301"/>
      <c r="V13" s="412"/>
      <c r="W13" s="301"/>
      <c r="X13" s="364"/>
      <c r="Y13" s="364"/>
      <c r="Z13" s="1564"/>
      <c r="AA13" s="1563"/>
    </row>
    <row r="14" spans="1:27" ht="16.399999999999999" customHeight="1">
      <c r="A14" s="301"/>
      <c r="B14" s="55" t="s">
        <v>109</v>
      </c>
      <c r="C14" s="3"/>
      <c r="D14" s="324" t="str">
        <f>'Exhibit A'!F11</f>
        <v>11 MOS. ENDED</v>
      </c>
      <c r="E14" s="3"/>
      <c r="F14" s="55" t="s">
        <v>109</v>
      </c>
      <c r="G14" s="61"/>
      <c r="H14" s="55" t="str">
        <f>D14</f>
        <v>11 MOS. ENDED</v>
      </c>
      <c r="I14" s="55"/>
      <c r="J14" s="55"/>
      <c r="K14" s="3"/>
      <c r="L14" s="55" t="s">
        <v>109</v>
      </c>
      <c r="M14" s="3"/>
      <c r="N14" s="55" t="str">
        <f>D14</f>
        <v>11 MOS. ENDED</v>
      </c>
      <c r="O14" s="55"/>
      <c r="P14" s="55"/>
      <c r="Q14" s="3"/>
      <c r="R14" s="55" t="s">
        <v>109</v>
      </c>
      <c r="S14" s="3"/>
      <c r="T14" s="55" t="str">
        <f>H14</f>
        <v>11 MOS. ENDED</v>
      </c>
      <c r="U14" s="301"/>
      <c r="V14" s="412"/>
      <c r="W14" s="329" t="s">
        <v>110</v>
      </c>
      <c r="X14" s="61"/>
      <c r="Y14" s="330" t="s">
        <v>111</v>
      </c>
      <c r="Z14" s="1564"/>
      <c r="AA14" s="1563"/>
    </row>
    <row r="15" spans="1:27" ht="16.399999999999999" customHeight="1">
      <c r="A15" s="301"/>
      <c r="B15" s="380" t="str">
        <f>'Exhibit A'!D12</f>
        <v>FEB. 2025</v>
      </c>
      <c r="C15" s="3"/>
      <c r="D15" s="380" t="str">
        <f>'Exhibit A'!F12</f>
        <v>FEB. 28, 2025</v>
      </c>
      <c r="E15" s="3"/>
      <c r="F15" s="325" t="str">
        <f>B15</f>
        <v>FEB. 2025</v>
      </c>
      <c r="G15" s="3"/>
      <c r="H15" s="326" t="str">
        <f>D15</f>
        <v>FEB. 28, 2025</v>
      </c>
      <c r="I15" s="326"/>
      <c r="J15" s="326"/>
      <c r="K15" s="3"/>
      <c r="L15" s="325" t="str">
        <f>F15</f>
        <v>FEB. 2025</v>
      </c>
      <c r="M15" s="3"/>
      <c r="N15" s="326" t="str">
        <f>'Exhibit A'!X12</f>
        <v>FEB. 28, 2025</v>
      </c>
      <c r="O15" s="326"/>
      <c r="P15" s="326"/>
      <c r="Q15" s="3"/>
      <c r="R15" s="1252" t="str">
        <f>'Exhibit A'!AB12</f>
        <v>FEB. 2024</v>
      </c>
      <c r="S15" s="3"/>
      <c r="T15" s="380" t="str">
        <f>'Exhibit A'!AD12</f>
        <v>FEB. 29, 2024</v>
      </c>
      <c r="U15" s="301"/>
      <c r="V15" s="412"/>
      <c r="W15" s="1251" t="s">
        <v>112</v>
      </c>
      <c r="X15" s="61"/>
      <c r="Y15" s="1016" t="s">
        <v>113</v>
      </c>
      <c r="Z15" s="1564"/>
      <c r="AA15" s="1563"/>
    </row>
    <row r="16" spans="1:27" ht="13.4" customHeight="1">
      <c r="A16" s="301"/>
      <c r="B16" s="301"/>
      <c r="C16" s="301"/>
      <c r="D16" s="301" t="s">
        <v>103</v>
      </c>
      <c r="E16" s="301"/>
      <c r="F16" s="1014"/>
      <c r="G16" s="301"/>
      <c r="H16" s="1015" t="s">
        <v>103</v>
      </c>
      <c r="J16" s="1574"/>
      <c r="K16" s="301"/>
      <c r="L16" s="1014"/>
      <c r="M16" s="301"/>
      <c r="N16" s="1014"/>
      <c r="O16" s="301"/>
      <c r="P16" s="1575"/>
      <c r="Q16" s="301"/>
      <c r="R16" s="301"/>
      <c r="S16" s="301"/>
      <c r="T16" s="301"/>
      <c r="U16" s="301"/>
      <c r="V16" s="413"/>
      <c r="W16" s="364"/>
      <c r="X16" s="301"/>
      <c r="Y16" s="364"/>
      <c r="Z16" s="1564"/>
      <c r="AA16" s="1563"/>
    </row>
    <row r="17" spans="1:27" ht="16.399999999999999" customHeight="1">
      <c r="A17" s="3" t="s">
        <v>114</v>
      </c>
      <c r="B17" s="301"/>
      <c r="C17" s="301"/>
      <c r="D17" s="301"/>
      <c r="E17" s="301"/>
      <c r="F17" s="301"/>
      <c r="G17" s="301"/>
      <c r="H17" s="301"/>
      <c r="I17" s="301"/>
      <c r="J17" s="1575"/>
      <c r="K17" s="301"/>
      <c r="L17" s="301"/>
      <c r="M17" s="301"/>
      <c r="N17" s="301"/>
      <c r="O17" s="301"/>
      <c r="P17" s="1575"/>
      <c r="Q17" s="301"/>
      <c r="R17" s="301"/>
      <c r="S17" s="301"/>
      <c r="T17" s="301"/>
      <c r="U17" s="301"/>
      <c r="V17" s="413"/>
      <c r="W17" s="364"/>
      <c r="X17" s="301"/>
      <c r="Y17" s="364"/>
      <c r="Z17" s="1564"/>
      <c r="AA17" s="1563"/>
    </row>
    <row r="18" spans="1:27" ht="16.399999999999999" customHeight="1">
      <c r="A18" s="301" t="s">
        <v>119</v>
      </c>
      <c r="B18" s="398">
        <f>+'Exhibit L'!V17</f>
        <v>19.599999999999994</v>
      </c>
      <c r="C18" s="284"/>
      <c r="D18" s="286">
        <f>+'Exhibit L'!AA17</f>
        <v>270.7</v>
      </c>
      <c r="E18" s="284"/>
      <c r="F18" s="1023">
        <f>'Exhibit M'!V17</f>
        <v>0.70000000000000107</v>
      </c>
      <c r="G18" s="284"/>
      <c r="H18" s="286">
        <f>+'Exhibit M'!AA17</f>
        <v>9.8000000000000007</v>
      </c>
      <c r="I18" s="286"/>
      <c r="J18" s="1583"/>
      <c r="K18" s="284"/>
      <c r="L18" s="286">
        <f>SUM(B18)+SUM(F18)</f>
        <v>20.299999999999997</v>
      </c>
      <c r="M18" s="284"/>
      <c r="N18" s="286">
        <f>D18+SUM(H18)</f>
        <v>280.5</v>
      </c>
      <c r="O18" s="286"/>
      <c r="P18" s="1583"/>
      <c r="Q18" s="284"/>
      <c r="R18" s="286">
        <v>22.5</v>
      </c>
      <c r="S18" s="284"/>
      <c r="T18" s="286">
        <f>'Exhibit L'!AD17+'Exhibit M'!AD17</f>
        <v>256.39999999999998</v>
      </c>
      <c r="U18" s="390"/>
      <c r="V18" s="414"/>
      <c r="W18" s="435">
        <f>ROUND(SUM(N18-T18),1)</f>
        <v>24.1</v>
      </c>
      <c r="X18" s="390"/>
      <c r="Y18" s="531">
        <f>ROUND(IF(W18=0,0,W18/ABS(T18)),3)</f>
        <v>9.4E-2</v>
      </c>
      <c r="Z18" s="1564"/>
      <c r="AA18" s="1564"/>
    </row>
    <row r="19" spans="1:27">
      <c r="A19" s="3" t="s">
        <v>121</v>
      </c>
      <c r="B19" s="1024">
        <f>ROUND(SUM(B18),1)</f>
        <v>19.600000000000001</v>
      </c>
      <c r="C19" s="13"/>
      <c r="D19" s="1024">
        <f>ROUND(SUM(D18),1)</f>
        <v>270.7</v>
      </c>
      <c r="E19" s="13"/>
      <c r="F19" s="367">
        <f>ROUND(SUM(F18),1)</f>
        <v>0.7</v>
      </c>
      <c r="G19" s="13"/>
      <c r="H19" s="1024">
        <f>ROUND(SUM(H18),1)</f>
        <v>9.8000000000000007</v>
      </c>
      <c r="I19" s="18"/>
      <c r="J19" s="1584"/>
      <c r="K19" s="13"/>
      <c r="L19" s="1024">
        <f>ROUND(SUM(L18),1)</f>
        <v>20.3</v>
      </c>
      <c r="M19" s="13"/>
      <c r="N19" s="1024">
        <f>ROUND(SUM(N18),1)</f>
        <v>280.5</v>
      </c>
      <c r="O19" s="18"/>
      <c r="P19" s="1584"/>
      <c r="Q19" s="13"/>
      <c r="R19" s="1024">
        <f>ROUND(SUM(R18),1)</f>
        <v>22.5</v>
      </c>
      <c r="S19" s="13"/>
      <c r="T19" s="1024">
        <f>ROUND(SUM(T18),1)</f>
        <v>256.39999999999998</v>
      </c>
      <c r="U19" s="61"/>
      <c r="V19" s="417"/>
      <c r="W19" s="1025">
        <f>ROUND(SUM(W18),3)</f>
        <v>24.1</v>
      </c>
      <c r="X19" s="278"/>
      <c r="Y19" s="1026">
        <f>ROUND(+W19/T19,3)</f>
        <v>9.4E-2</v>
      </c>
      <c r="Z19" s="1564"/>
      <c r="AA19" s="1565"/>
    </row>
    <row r="20" spans="1:27">
      <c r="A20" s="3"/>
      <c r="B20" s="274"/>
      <c r="C20" s="274"/>
      <c r="D20" s="274"/>
      <c r="E20" s="274"/>
      <c r="F20" s="274"/>
      <c r="G20" s="274"/>
      <c r="H20" s="1064"/>
      <c r="I20" s="274"/>
      <c r="J20" s="1017"/>
      <c r="K20" s="274"/>
      <c r="L20" s="274"/>
      <c r="M20" s="274"/>
      <c r="N20" s="274"/>
      <c r="O20" s="274"/>
      <c r="P20" s="1017"/>
      <c r="Q20" s="274"/>
      <c r="R20" s="274"/>
      <c r="S20" s="274"/>
      <c r="T20" s="274"/>
      <c r="V20" s="413"/>
      <c r="W20" s="422"/>
      <c r="X20" s="301"/>
      <c r="Y20" s="364"/>
      <c r="Z20" s="1564"/>
      <c r="AA20" s="1563"/>
    </row>
    <row r="21" spans="1:27" ht="16.399999999999999" customHeight="1">
      <c r="A21" s="3" t="s">
        <v>122</v>
      </c>
      <c r="B21" s="274"/>
      <c r="C21" s="274"/>
      <c r="D21" s="274"/>
      <c r="E21" s="274"/>
      <c r="F21" s="274"/>
      <c r="G21" s="274"/>
      <c r="H21" s="274"/>
      <c r="I21" s="274"/>
      <c r="J21" s="1017"/>
      <c r="K21" s="274"/>
      <c r="L21" s="274"/>
      <c r="M21" s="274"/>
      <c r="N21" s="274"/>
      <c r="O21" s="274"/>
      <c r="P21" s="1017"/>
      <c r="Q21" s="274"/>
      <c r="R21" s="274"/>
      <c r="S21" s="274"/>
      <c r="T21" s="274"/>
      <c r="V21" s="413"/>
      <c r="W21" s="422"/>
      <c r="X21" s="301"/>
      <c r="Y21" s="364"/>
      <c r="Z21" s="1564"/>
      <c r="AA21" s="1563"/>
    </row>
    <row r="22" spans="1:27" ht="16.399999999999999" customHeight="1">
      <c r="A22" s="301" t="s">
        <v>135</v>
      </c>
      <c r="B22" s="274"/>
      <c r="C22" s="274"/>
      <c r="D22" s="274"/>
      <c r="E22" s="274"/>
      <c r="F22" s="274"/>
      <c r="G22" s="274"/>
      <c r="H22" s="274"/>
      <c r="I22" s="274"/>
      <c r="J22" s="1017"/>
      <c r="K22" s="274"/>
      <c r="L22" s="274"/>
      <c r="M22" s="274"/>
      <c r="N22" s="274"/>
      <c r="O22" s="274"/>
      <c r="P22" s="1017"/>
      <c r="Q22" s="274"/>
      <c r="R22" s="274"/>
      <c r="S22" s="274"/>
      <c r="T22" s="274"/>
      <c r="V22" s="413"/>
      <c r="W22" s="422"/>
      <c r="X22" s="301"/>
      <c r="Y22" s="364"/>
      <c r="Z22" s="1564"/>
      <c r="AA22" s="1563"/>
    </row>
    <row r="23" spans="1:27" ht="16.399999999999999" customHeight="1">
      <c r="A23" s="301" t="s">
        <v>214</v>
      </c>
      <c r="B23" s="297">
        <f>+'Exhibit L'!V24</f>
        <v>6.7000000000000028</v>
      </c>
      <c r="C23" s="274"/>
      <c r="D23" s="297">
        <f>+'Exhibit L'!AA24</f>
        <v>79.400000000000006</v>
      </c>
      <c r="E23" s="274"/>
      <c r="F23" s="285">
        <f>+'Exhibit M'!V24</f>
        <v>0.2</v>
      </c>
      <c r="G23" s="274"/>
      <c r="H23" s="298">
        <f>+'Exhibit M'!AA24</f>
        <v>0.4</v>
      </c>
      <c r="I23" s="298"/>
      <c r="J23" s="1579"/>
      <c r="K23" s="274"/>
      <c r="L23" s="297">
        <f>SUM(B23)+SUM(F23)</f>
        <v>6.900000000000003</v>
      </c>
      <c r="M23" s="274"/>
      <c r="N23" s="297">
        <f>SUM(D23)+SUM(H23)</f>
        <v>79.800000000000011</v>
      </c>
      <c r="O23" s="297"/>
      <c r="P23" s="1588"/>
      <c r="Q23" s="274"/>
      <c r="R23" s="2067">
        <v>6.1</v>
      </c>
      <c r="S23" s="274"/>
      <c r="T23" s="297">
        <f>'Exhibit L'!AD24+'Exhibit M'!AD24</f>
        <v>78.7</v>
      </c>
      <c r="V23" s="413"/>
      <c r="W23" s="422">
        <f>ROUND(SUM(N23-T23),1)</f>
        <v>1.1000000000000001</v>
      </c>
      <c r="X23" s="301"/>
      <c r="Y23" s="531">
        <f>ROUND(IF(W23=0,0,W23/ABS(T23)),3)</f>
        <v>1.4E-2</v>
      </c>
      <c r="Z23" s="1564"/>
      <c r="AA23" s="1563"/>
    </row>
    <row r="24" spans="1:27" ht="16.399999999999999" customHeight="1">
      <c r="A24" s="301" t="s">
        <v>215</v>
      </c>
      <c r="B24" s="297">
        <f>+'Exhibit L'!V25</f>
        <v>2.0999999999999943</v>
      </c>
      <c r="C24" s="274"/>
      <c r="D24" s="297">
        <f>+'Exhibit L'!AA25</f>
        <v>65.599999999999994</v>
      </c>
      <c r="E24" s="274"/>
      <c r="F24" s="285">
        <f>+'Exhibit M'!V25</f>
        <v>0</v>
      </c>
      <c r="G24" s="274"/>
      <c r="H24" s="298">
        <f>+'Exhibit M'!AA25</f>
        <v>0.1</v>
      </c>
      <c r="I24" s="298"/>
      <c r="J24" s="1579"/>
      <c r="K24" s="274"/>
      <c r="L24" s="297">
        <f>SUM(B24)+SUM(F24)</f>
        <v>2.0999999999999943</v>
      </c>
      <c r="M24" s="274"/>
      <c r="N24" s="297">
        <f>SUM(D24)+SUM(H24)</f>
        <v>65.699999999999989</v>
      </c>
      <c r="O24" s="297"/>
      <c r="P24" s="1588"/>
      <c r="Q24" s="274"/>
      <c r="R24" s="2067">
        <v>4.0999999999999996</v>
      </c>
      <c r="S24" s="274"/>
      <c r="T24" s="297">
        <f>'Exhibit L'!AD25+'Exhibit M'!AD25</f>
        <v>68.399999999999991</v>
      </c>
      <c r="V24" s="413"/>
      <c r="W24" s="422">
        <f>ROUND(SUM(N24-T24),1)</f>
        <v>-2.7</v>
      </c>
      <c r="X24" s="301"/>
      <c r="Y24" s="531">
        <f>ROUND(IF(W24=0,0,W24/ABS(T24)),3)</f>
        <v>-3.9E-2</v>
      </c>
      <c r="Z24" s="1564"/>
      <c r="AA24" s="1563"/>
    </row>
    <row r="25" spans="1:27" ht="16.399999999999999" customHeight="1">
      <c r="A25" s="301" t="s">
        <v>216</v>
      </c>
      <c r="B25" s="297">
        <f>+'Exhibit L'!V26</f>
        <v>4.2999999999999972</v>
      </c>
      <c r="C25" s="274"/>
      <c r="D25" s="298">
        <f>+'Exhibit L'!AA26</f>
        <v>51.9</v>
      </c>
      <c r="E25" s="274"/>
      <c r="F25" s="285">
        <f>+'Exhibit M'!V26</f>
        <v>9.9999999999999978E-2</v>
      </c>
      <c r="G25" s="274"/>
      <c r="H25" s="1582">
        <f>+'Exhibit M'!AA26</f>
        <v>0.3</v>
      </c>
      <c r="I25" s="299"/>
      <c r="J25" s="1585"/>
      <c r="K25" s="274"/>
      <c r="L25" s="297">
        <f>SUM(B25)+SUM(F25)</f>
        <v>4.3999999999999968</v>
      </c>
      <c r="M25" s="274"/>
      <c r="N25" s="297">
        <f>SUM(D25)+SUM(H25)</f>
        <v>52.199999999999996</v>
      </c>
      <c r="O25" s="297"/>
      <c r="P25" s="1588"/>
      <c r="Q25" s="274"/>
      <c r="R25" s="2067">
        <v>4</v>
      </c>
      <c r="S25" s="377"/>
      <c r="T25" s="297">
        <f>'Exhibit L'!AD26+'Exhibit M'!AD26</f>
        <v>52.3</v>
      </c>
      <c r="V25" s="413"/>
      <c r="W25" s="422">
        <f>ROUND(SUM(N25-T25),1)</f>
        <v>-0.1</v>
      </c>
      <c r="X25" s="301"/>
      <c r="Y25" s="945">
        <f>ROUND(IF(W25=0,0,W25/ABS(T25)),3)</f>
        <v>-2E-3</v>
      </c>
      <c r="Z25" s="1564"/>
      <c r="AA25" s="1563"/>
    </row>
    <row r="26" spans="1:27">
      <c r="A26" s="3" t="s">
        <v>162</v>
      </c>
      <c r="B26" s="1024">
        <f>ROUND(SUM(B23:B25),1)</f>
        <v>13.1</v>
      </c>
      <c r="C26" s="13"/>
      <c r="D26" s="1024">
        <f>ROUND(SUM(D23:D25),1)</f>
        <v>196.9</v>
      </c>
      <c r="E26" s="13"/>
      <c r="F26" s="1024">
        <f>ROUND(SUM(F23:F25),1)</f>
        <v>0.3</v>
      </c>
      <c r="G26" s="13"/>
      <c r="H26" s="1024">
        <f>ROUND(SUM(H23:H25),1)</f>
        <v>0.8</v>
      </c>
      <c r="I26" s="18"/>
      <c r="J26" s="1584"/>
      <c r="K26" s="13"/>
      <c r="L26" s="1024">
        <f>ROUND(SUM(L23:L25),1)</f>
        <v>13.4</v>
      </c>
      <c r="M26" s="13"/>
      <c r="N26" s="1024">
        <f>ROUND(SUM(N23:N25),1)</f>
        <v>197.7</v>
      </c>
      <c r="O26" s="18"/>
      <c r="P26" s="1584"/>
      <c r="Q26" s="13"/>
      <c r="R26" s="2068">
        <f>ROUND(SUM(R23:R25),1)</f>
        <v>14.2</v>
      </c>
      <c r="S26" s="13"/>
      <c r="T26" s="1024">
        <f>ROUND(SUM(T23:T25),1)</f>
        <v>199.4</v>
      </c>
      <c r="U26" s="61"/>
      <c r="V26" s="97"/>
      <c r="W26" s="1025">
        <f>ROUND(SUM(W23:W25),3)</f>
        <v>-1.7</v>
      </c>
      <c r="X26" s="278"/>
      <c r="Y26" s="1020">
        <f>ROUND(W26/T26,3)</f>
        <v>-8.9999999999999993E-3</v>
      </c>
      <c r="Z26" s="1564"/>
      <c r="AA26" s="1563"/>
    </row>
    <row r="27" spans="1:27">
      <c r="A27" s="3"/>
      <c r="B27" s="274"/>
      <c r="C27" s="274"/>
      <c r="D27" s="274"/>
      <c r="E27" s="274"/>
      <c r="F27" s="274"/>
      <c r="G27" s="274"/>
      <c r="H27" s="274"/>
      <c r="I27" s="274"/>
      <c r="J27" s="1017"/>
      <c r="K27" s="274"/>
      <c r="L27" s="274"/>
      <c r="M27" s="274"/>
      <c r="N27" s="274"/>
      <c r="O27" s="274"/>
      <c r="P27" s="1017"/>
      <c r="Q27" s="274"/>
      <c r="R27" s="1887"/>
      <c r="S27" s="274"/>
      <c r="T27" s="274"/>
      <c r="V27" s="413"/>
      <c r="W27" s="422"/>
      <c r="X27" s="301"/>
      <c r="Y27" s="364"/>
      <c r="Z27" s="1564"/>
      <c r="AA27" s="1563"/>
    </row>
    <row r="28" spans="1:27" ht="16.399999999999999" customHeight="1">
      <c r="A28" s="3" t="s">
        <v>143</v>
      </c>
      <c r="B28" s="274"/>
      <c r="C28" s="274"/>
      <c r="D28" s="274"/>
      <c r="E28" s="274"/>
      <c r="F28" s="274"/>
      <c r="G28" s="274"/>
      <c r="H28" s="274"/>
      <c r="I28" s="274"/>
      <c r="J28" s="1017"/>
      <c r="K28" s="274"/>
      <c r="L28" s="274"/>
      <c r="M28" s="274"/>
      <c r="N28" s="274"/>
      <c r="O28" s="274"/>
      <c r="P28" s="1017"/>
      <c r="Q28" s="274"/>
      <c r="R28" s="1887"/>
      <c r="S28" s="274"/>
      <c r="T28" s="274"/>
      <c r="V28" s="413"/>
      <c r="W28" s="422"/>
      <c r="X28" s="301"/>
      <c r="Y28" s="364"/>
      <c r="Z28" s="1564"/>
      <c r="AA28" s="1563"/>
    </row>
    <row r="29" spans="1:27">
      <c r="A29" s="3" t="s">
        <v>218</v>
      </c>
      <c r="B29" s="1011">
        <f>ROUND(SUM(B19-B26),1)</f>
        <v>6.5</v>
      </c>
      <c r="C29" s="13"/>
      <c r="D29" s="1011">
        <f>ROUND(SUM(D19-D26),1)</f>
        <v>73.8</v>
      </c>
      <c r="E29" s="13"/>
      <c r="F29" s="1011">
        <f>ROUND(SUM(F19-F26),1)</f>
        <v>0.4</v>
      </c>
      <c r="G29" s="13"/>
      <c r="H29" s="1011">
        <f>ROUND(SUM(H19-H26),1)</f>
        <v>9</v>
      </c>
      <c r="I29" s="18"/>
      <c r="J29" s="1584"/>
      <c r="K29" s="13"/>
      <c r="L29" s="1011">
        <f>ROUND(SUM(L19-L26),1)</f>
        <v>6.9</v>
      </c>
      <c r="M29" s="13"/>
      <c r="N29" s="1011">
        <f>ROUND(SUM(N19-N26),1)</f>
        <v>82.8</v>
      </c>
      <c r="O29" s="18"/>
      <c r="P29" s="1584"/>
      <c r="Q29" s="13"/>
      <c r="R29" s="2069">
        <f>ROUND(SUM(R19-R26),1)</f>
        <v>8.3000000000000007</v>
      </c>
      <c r="S29" s="13"/>
      <c r="T29" s="1011">
        <f>ROUND(SUM(T19-T26),1)</f>
        <v>57</v>
      </c>
      <c r="U29" s="61"/>
      <c r="V29" s="413"/>
      <c r="W29" s="367">
        <f>ROUND(SUM(N29-T29),1)</f>
        <v>25.8</v>
      </c>
      <c r="X29" s="301"/>
      <c r="Y29" s="690">
        <f>ROUND(IF(T29=0,1,W29/ABS(T29)),3)</f>
        <v>0.45300000000000001</v>
      </c>
      <c r="Z29" s="1564"/>
      <c r="AA29" s="1563"/>
    </row>
    <row r="30" spans="1:27">
      <c r="A30" s="301"/>
      <c r="B30" s="274"/>
      <c r="C30" s="274"/>
      <c r="D30" s="274"/>
      <c r="E30" s="274"/>
      <c r="F30" s="274"/>
      <c r="G30" s="274"/>
      <c r="H30" s="274"/>
      <c r="I30" s="274"/>
      <c r="J30" s="1017"/>
      <c r="K30" s="274"/>
      <c r="L30" s="274"/>
      <c r="M30" s="274"/>
      <c r="N30" s="274"/>
      <c r="O30" s="274"/>
      <c r="P30" s="1017"/>
      <c r="Q30" s="274"/>
      <c r="R30" s="1887"/>
      <c r="S30" s="274"/>
      <c r="T30" s="274"/>
      <c r="V30" s="413"/>
      <c r="W30" s="422"/>
      <c r="X30" s="301"/>
      <c r="Y30" s="364"/>
      <c r="Z30" s="1564"/>
      <c r="AA30" s="1563"/>
    </row>
    <row r="31" spans="1:27" ht="16.399999999999999" customHeight="1">
      <c r="A31" s="3" t="s">
        <v>145</v>
      </c>
      <c r="B31" s="274"/>
      <c r="C31" s="274"/>
      <c r="D31" s="274"/>
      <c r="E31" s="274"/>
      <c r="F31" s="274"/>
      <c r="G31" s="274"/>
      <c r="H31" s="274"/>
      <c r="I31" s="274"/>
      <c r="J31" s="1017"/>
      <c r="K31" s="274"/>
      <c r="L31" s="274"/>
      <c r="M31" s="274"/>
      <c r="N31" s="274"/>
      <c r="O31" s="274"/>
      <c r="P31" s="1017"/>
      <c r="Q31" s="274"/>
      <c r="R31" s="1887"/>
      <c r="S31" s="274"/>
      <c r="T31" s="274"/>
      <c r="V31" s="413"/>
      <c r="W31" s="422"/>
      <c r="X31" s="301"/>
      <c r="Y31" s="364"/>
      <c r="Z31" s="1564"/>
      <c r="AA31" s="1563"/>
    </row>
    <row r="32" spans="1:27" ht="16.399999999999999" customHeight="1">
      <c r="A32" s="301" t="s">
        <v>147</v>
      </c>
      <c r="B32" s="285">
        <f>+'Exhibit L'!V36</f>
        <v>0</v>
      </c>
      <c r="C32" s="274"/>
      <c r="D32" s="285">
        <f>+'Exhibit L'!AA36</f>
        <v>0</v>
      </c>
      <c r="E32" s="274"/>
      <c r="F32" s="285">
        <f>+'Exhibit M'!V36</f>
        <v>0</v>
      </c>
      <c r="G32" s="297"/>
      <c r="H32" s="285">
        <f>+'Exhibit M'!AA36</f>
        <v>0</v>
      </c>
      <c r="I32" s="285"/>
      <c r="J32" s="1577"/>
      <c r="K32" s="274"/>
      <c r="L32" s="298">
        <f>SUM(B32)+SUM(F32)</f>
        <v>0</v>
      </c>
      <c r="M32" s="274"/>
      <c r="N32" s="298">
        <f>SUM(D32)+SUM(H32)</f>
        <v>0</v>
      </c>
      <c r="O32" s="298"/>
      <c r="P32" s="1579"/>
      <c r="Q32" s="274"/>
      <c r="R32" s="298">
        <v>0</v>
      </c>
      <c r="S32" s="274"/>
      <c r="T32" s="298">
        <f>'Exhibit L'!AD36+'Exhibit M'!AD36</f>
        <v>0</v>
      </c>
      <c r="V32" s="418"/>
      <c r="W32" s="422">
        <f>ROUND(SUM(N32-T32),1)</f>
        <v>0</v>
      </c>
      <c r="X32" s="278"/>
      <c r="Y32" s="531">
        <f>ROUND(IF(W32=0,0,W32/ABS(T32)),3)</f>
        <v>0</v>
      </c>
      <c r="Z32" s="1564"/>
      <c r="AA32" s="1563"/>
    </row>
    <row r="33" spans="1:27" ht="16.399999999999999" customHeight="1">
      <c r="A33" s="301" t="s">
        <v>219</v>
      </c>
      <c r="B33" s="285">
        <f>+'Exhibit L'!V37</f>
        <v>0</v>
      </c>
      <c r="C33" s="274"/>
      <c r="D33" s="856">
        <f>+'Exhibit L'!AA37</f>
        <v>0</v>
      </c>
      <c r="E33" s="274"/>
      <c r="F33" s="285">
        <f>+'Exhibit M'!V37</f>
        <v>0</v>
      </c>
      <c r="G33" s="274"/>
      <c r="H33" s="285">
        <f>+'Exhibit M'!AA37</f>
        <v>0</v>
      </c>
      <c r="I33" s="285"/>
      <c r="J33" s="1577"/>
      <c r="K33" s="274"/>
      <c r="L33" s="298">
        <f>SUM(B33)+SUM(F33)</f>
        <v>0</v>
      </c>
      <c r="M33" s="274"/>
      <c r="N33" s="298">
        <f>SUM(D33)+SUM(H33)</f>
        <v>0</v>
      </c>
      <c r="O33" s="298"/>
      <c r="P33" s="1579"/>
      <c r="Q33" s="274"/>
      <c r="R33" s="298">
        <v>0</v>
      </c>
      <c r="S33" s="377"/>
      <c r="T33" s="298">
        <f>'Exhibit L'!AD37+'Exhibit M'!AD37</f>
        <v>0</v>
      </c>
      <c r="V33" s="419"/>
      <c r="W33" s="422">
        <f>ROUND(SUM(N33-T33),1)</f>
        <v>0</v>
      </c>
      <c r="X33" s="278"/>
      <c r="Y33" s="531">
        <f>ROUND(IF(W33=0,0,W33/ABS(T33)),3)</f>
        <v>0</v>
      </c>
      <c r="Z33" s="1564"/>
      <c r="AA33" s="1563"/>
    </row>
    <row r="34" spans="1:27">
      <c r="A34" s="3" t="s">
        <v>150</v>
      </c>
      <c r="B34" s="1027">
        <f>ROUND(SUM(B32:B33),1)</f>
        <v>0</v>
      </c>
      <c r="C34" s="13"/>
      <c r="D34" s="1027">
        <f>ROUND(SUM(D32:D33),1)</f>
        <v>0</v>
      </c>
      <c r="E34" s="13"/>
      <c r="F34" s="1027">
        <f>ROUND(SUM(F32:F33),1)</f>
        <v>0</v>
      </c>
      <c r="G34" s="13"/>
      <c r="H34" s="1027">
        <f>ROUND(SUM(H32:H33),1)</f>
        <v>0</v>
      </c>
      <c r="I34" s="17"/>
      <c r="J34" s="1586"/>
      <c r="K34" s="13"/>
      <c r="L34" s="1027">
        <f>ROUND(SUM(L32:L33),1)</f>
        <v>0</v>
      </c>
      <c r="M34" s="13"/>
      <c r="N34" s="1024">
        <f>ROUND(SUM(N32:N33),1)</f>
        <v>0</v>
      </c>
      <c r="O34" s="18"/>
      <c r="P34" s="1584"/>
      <c r="Q34" s="13"/>
      <c r="R34" s="1024">
        <f>ROUND(SUM(R32:R33),1)</f>
        <v>0</v>
      </c>
      <c r="S34" s="13"/>
      <c r="T34" s="1024">
        <f>ROUND(SUM(T32:T33),1)</f>
        <v>0</v>
      </c>
      <c r="V34" s="420"/>
      <c r="W34" s="911">
        <f>ROUND(SUM(W32-W33),3)</f>
        <v>0</v>
      </c>
      <c r="X34" s="540"/>
      <c r="Y34" s="1026">
        <f>ROUND(IF(T34=0,0,W34/ABS(T34)),3)</f>
        <v>0</v>
      </c>
      <c r="Z34" s="1564"/>
      <c r="AA34" s="1563"/>
    </row>
    <row r="35" spans="1:27">
      <c r="A35" s="3"/>
      <c r="B35" s="629"/>
      <c r="C35" s="274"/>
      <c r="D35" s="629"/>
      <c r="E35" s="274"/>
      <c r="F35" s="274"/>
      <c r="G35" s="274"/>
      <c r="H35" s="274"/>
      <c r="I35" s="274"/>
      <c r="J35" s="1017"/>
      <c r="K35" s="274"/>
      <c r="L35" s="274"/>
      <c r="M35" s="274"/>
      <c r="N35" s="629"/>
      <c r="O35" s="274"/>
      <c r="P35" s="1017"/>
      <c r="Q35" s="274"/>
      <c r="R35" s="274"/>
      <c r="S35" s="274"/>
      <c r="T35" s="274"/>
      <c r="V35" s="413"/>
      <c r="W35" s="422"/>
      <c r="X35" s="301"/>
      <c r="Y35" s="364"/>
      <c r="Z35" s="1564"/>
      <c r="AA35" s="1563"/>
    </row>
    <row r="36" spans="1:27" ht="15.75" customHeight="1">
      <c r="A36" s="3" t="s">
        <v>143</v>
      </c>
      <c r="B36" s="274"/>
      <c r="C36" s="274"/>
      <c r="D36" s="274"/>
      <c r="E36" s="274"/>
      <c r="F36" s="274"/>
      <c r="G36" s="274"/>
      <c r="H36" s="274"/>
      <c r="I36" s="274"/>
      <c r="J36" s="1017"/>
      <c r="K36" s="274"/>
      <c r="L36" s="274"/>
      <c r="M36" s="274"/>
      <c r="N36" s="274"/>
      <c r="O36" s="274"/>
      <c r="P36" s="1017"/>
      <c r="Q36" s="274"/>
      <c r="R36" s="274"/>
      <c r="S36" s="274"/>
      <c r="T36" s="274"/>
      <c r="V36" s="413"/>
      <c r="W36" s="422"/>
      <c r="X36" s="301"/>
      <c r="Y36" s="364"/>
      <c r="Z36" s="1564"/>
      <c r="AA36" s="1563"/>
    </row>
    <row r="37" spans="1:27" ht="15.75" customHeight="1">
      <c r="A37" s="3" t="s">
        <v>220</v>
      </c>
      <c r="B37" s="274"/>
      <c r="C37" s="274"/>
      <c r="D37" s="274"/>
      <c r="E37" s="274"/>
      <c r="F37" s="274"/>
      <c r="G37" s="274"/>
      <c r="H37" s="274"/>
      <c r="I37" s="274"/>
      <c r="J37" s="1017"/>
      <c r="K37" s="274"/>
      <c r="L37" s="274"/>
      <c r="M37" s="274"/>
      <c r="N37" s="274"/>
      <c r="O37" s="274"/>
      <c r="P37" s="1017"/>
      <c r="Q37" s="274"/>
      <c r="R37" s="274"/>
      <c r="S37" s="274"/>
      <c r="T37" s="274"/>
      <c r="V37" s="413"/>
      <c r="W37" s="422"/>
      <c r="X37" s="301"/>
      <c r="Y37" s="364"/>
      <c r="Z37" s="1564"/>
      <c r="AA37" s="1563"/>
    </row>
    <row r="38" spans="1:27" ht="15.75" customHeight="1">
      <c r="A38" s="3" t="s">
        <v>221</v>
      </c>
      <c r="B38" s="274"/>
      <c r="C38" s="274"/>
      <c r="D38" s="274"/>
      <c r="E38" s="274"/>
      <c r="F38" s="377"/>
      <c r="G38" s="274"/>
      <c r="H38" s="274"/>
      <c r="I38" s="274"/>
      <c r="J38" s="1017"/>
      <c r="K38" s="274"/>
      <c r="L38" s="274"/>
      <c r="M38" s="274"/>
      <c r="N38" s="274"/>
      <c r="O38" s="274"/>
      <c r="P38" s="1017"/>
      <c r="Q38" s="274"/>
      <c r="R38" s="274"/>
      <c r="S38" s="274"/>
      <c r="T38" s="274"/>
      <c r="V38" s="413"/>
      <c r="W38" s="422"/>
      <c r="X38" s="301"/>
      <c r="Y38" s="364"/>
      <c r="Z38" s="1564"/>
      <c r="AA38" s="1563"/>
    </row>
    <row r="39" spans="1:27" ht="15.75" customHeight="1">
      <c r="A39" s="3" t="s">
        <v>222</v>
      </c>
      <c r="B39" s="26">
        <f>ROUND(SUM(B29+B34),1)</f>
        <v>6.5</v>
      </c>
      <c r="C39" s="13"/>
      <c r="D39" s="26">
        <f>ROUND(SUM(D29+D34),1)</f>
        <v>73.8</v>
      </c>
      <c r="E39" s="13"/>
      <c r="F39" s="26">
        <f>ROUND(SUM(F29+F34),1)</f>
        <v>0.4</v>
      </c>
      <c r="G39" s="13"/>
      <c r="H39" s="26">
        <f>ROUND(SUM(H29+H34),1)</f>
        <v>9</v>
      </c>
      <c r="I39" s="26"/>
      <c r="J39" s="1580"/>
      <c r="K39" s="13"/>
      <c r="L39" s="26">
        <f>ROUND(SUM(L29+L34),1)</f>
        <v>6.9</v>
      </c>
      <c r="M39" s="13"/>
      <c r="N39" s="26">
        <f>ROUND(SUM(N29+N34),1)</f>
        <v>82.8</v>
      </c>
      <c r="O39" s="26"/>
      <c r="P39" s="1580"/>
      <c r="Q39" s="13"/>
      <c r="R39" s="26">
        <f>ROUND(SUM(R29+R34),1)</f>
        <v>8.3000000000000007</v>
      </c>
      <c r="S39" s="13"/>
      <c r="T39" s="26">
        <f>ROUND(SUM(T29+T34),1)</f>
        <v>57</v>
      </c>
      <c r="U39" s="61"/>
      <c r="V39" s="413"/>
      <c r="W39" s="13">
        <f>ROUND(SUM(N39-T39),1)</f>
        <v>25.8</v>
      </c>
      <c r="X39" s="301"/>
      <c r="Y39" s="691">
        <f>ROUND(IF(T39=0,1,W39/ABS(T39)),3)</f>
        <v>0.45300000000000001</v>
      </c>
      <c r="Z39" s="1564"/>
      <c r="AA39" s="1563"/>
    </row>
    <row r="40" spans="1:27">
      <c r="A40" s="3"/>
      <c r="B40" s="274"/>
      <c r="C40" s="274"/>
      <c r="D40" s="274"/>
      <c r="E40" s="274"/>
      <c r="F40" s="274"/>
      <c r="G40" s="274"/>
      <c r="H40" s="274"/>
      <c r="I40" s="274"/>
      <c r="J40" s="1017"/>
      <c r="K40" s="274"/>
      <c r="L40" s="274"/>
      <c r="M40" s="274"/>
      <c r="N40" s="274"/>
      <c r="O40" s="274"/>
      <c r="P40" s="1017"/>
      <c r="Q40" s="274"/>
      <c r="R40" s="274"/>
      <c r="S40" s="274"/>
      <c r="T40" s="274"/>
      <c r="V40" s="413"/>
      <c r="X40" s="301"/>
      <c r="Z40" s="1564"/>
      <c r="AA40" s="1563"/>
    </row>
    <row r="41" spans="1:27" s="61" customFormat="1">
      <c r="A41" s="3" t="s">
        <v>153</v>
      </c>
      <c r="B41" s="2066">
        <f>+'Exhibit L'!V14</f>
        <v>1629.8</v>
      </c>
      <c r="C41" s="13"/>
      <c r="D41" s="2066">
        <f>+'Exhibit L'!AA14</f>
        <v>1562.5</v>
      </c>
      <c r="E41" s="13"/>
      <c r="F41" s="2066">
        <f>+'Exhibit M'!V14</f>
        <v>68.599999999999994</v>
      </c>
      <c r="G41" s="13"/>
      <c r="H41" s="18">
        <f>+'Exhibit M'!AA14</f>
        <v>60</v>
      </c>
      <c r="I41" s="18"/>
      <c r="J41" s="1584"/>
      <c r="K41" s="13"/>
      <c r="L41" s="18">
        <f>ROUND(SUM(B41)+SUM(F41),1)</f>
        <v>1698.4</v>
      </c>
      <c r="M41" s="13"/>
      <c r="N41" s="26">
        <f>ROUND(SUM(D41+H41),1)</f>
        <v>1622.5</v>
      </c>
      <c r="O41" s="26"/>
      <c r="P41" s="1580"/>
      <c r="Q41" s="13"/>
      <c r="R41" s="1011">
        <v>1357.5</v>
      </c>
      <c r="S41" s="13"/>
      <c r="T41" s="1011">
        <f>'Exhibit L'!AD14+'Exhibit M'!AD14</f>
        <v>1308.8</v>
      </c>
      <c r="V41" s="409"/>
      <c r="W41" s="19">
        <f>ROUND(SUM(+N41-T41),1)</f>
        <v>313.7</v>
      </c>
      <c r="X41" s="3"/>
      <c r="Y41" s="532">
        <f>ROUND(IF(W41=0,0,W41/ABS(T41)),3)</f>
        <v>0.24</v>
      </c>
      <c r="Z41" s="1568"/>
      <c r="AA41" s="1566"/>
    </row>
    <row r="42" spans="1:27" ht="16" thickBot="1">
      <c r="A42" s="3" t="s">
        <v>224</v>
      </c>
      <c r="B42" s="1028">
        <f>ROUND(SUM(B41)+SUM(B39),1)</f>
        <v>1636.3</v>
      </c>
      <c r="C42" s="20"/>
      <c r="D42" s="1028">
        <f>ROUND(SUM(D41)+SUM(D39),1)</f>
        <v>1636.3</v>
      </c>
      <c r="E42" s="20"/>
      <c r="F42" s="1021">
        <f>ROUND(SUM(F41)+SUM(F39),1)</f>
        <v>69</v>
      </c>
      <c r="G42" s="27"/>
      <c r="H42" s="1029">
        <f>ROUND(SUM(H41)+SUM(H39),1)</f>
        <v>69</v>
      </c>
      <c r="I42" s="44"/>
      <c r="J42" s="1587"/>
      <c r="K42" s="20"/>
      <c r="L42" s="1029">
        <f>ROUND(SUM(L41)+SUM(L39),1)</f>
        <v>1705.3</v>
      </c>
      <c r="M42" s="20"/>
      <c r="N42" s="1029">
        <f>ROUND(SUM(N41)+SUM(N39),1)</f>
        <v>1705.3</v>
      </c>
      <c r="O42" s="44"/>
      <c r="P42" s="1587"/>
      <c r="Q42" s="20"/>
      <c r="R42" s="1029">
        <f>ROUND(SUM(R41)+SUM(R39),1)</f>
        <v>1365.8</v>
      </c>
      <c r="S42" s="20"/>
      <c r="T42" s="1029">
        <f>ROUND(SUM(T41)+SUM(T39),1)</f>
        <v>1365.8</v>
      </c>
      <c r="U42" s="45"/>
      <c r="V42" s="414"/>
      <c r="W42" s="1030">
        <f>ROUND(SUM(W39+W41),3)</f>
        <v>339.5</v>
      </c>
      <c r="X42" s="390"/>
      <c r="Y42" s="1022">
        <f>ROUND(IF(T42=0,1,W42/ABS(T42)),3)</f>
        <v>0.249</v>
      </c>
      <c r="Z42" s="1564"/>
      <c r="AA42" s="1563"/>
    </row>
    <row r="43" spans="1:27" ht="16" thickTop="1">
      <c r="A43" s="301"/>
      <c r="B43" s="421"/>
      <c r="C43" s="390"/>
      <c r="D43" s="421"/>
      <c r="E43" s="390"/>
      <c r="F43" s="421"/>
      <c r="G43" s="390"/>
      <c r="H43" s="421"/>
      <c r="I43" s="390"/>
      <c r="J43" s="390"/>
      <c r="K43" s="390"/>
      <c r="L43" s="421"/>
      <c r="M43" s="390"/>
      <c r="N43" s="421"/>
      <c r="O43" s="390"/>
      <c r="P43" s="390"/>
      <c r="Q43" s="390"/>
      <c r="R43" s="421"/>
      <c r="S43" s="390"/>
      <c r="T43" s="421"/>
      <c r="U43" s="390"/>
      <c r="V43" s="415"/>
      <c r="W43" s="415"/>
      <c r="X43" s="415"/>
      <c r="Y43" s="415"/>
      <c r="Z43" s="1564"/>
      <c r="AA43" s="1565"/>
    </row>
    <row r="44" spans="1:27" ht="18.5">
      <c r="A44" s="301" t="s">
        <v>230</v>
      </c>
      <c r="B44" s="301"/>
      <c r="C44" s="301"/>
      <c r="D44" s="301"/>
      <c r="E44" s="301"/>
      <c r="F44" s="301"/>
      <c r="G44" s="301"/>
      <c r="H44" s="301"/>
      <c r="I44" s="301"/>
      <c r="J44" s="301"/>
      <c r="K44" s="301"/>
      <c r="L44" s="301"/>
      <c r="M44" s="301"/>
      <c r="N44" s="301"/>
      <c r="O44" s="301"/>
      <c r="P44" s="301"/>
      <c r="Q44" s="301"/>
      <c r="R44" s="274"/>
      <c r="S44" s="301"/>
      <c r="T44" s="301"/>
      <c r="U44" s="301"/>
      <c r="V44" s="364"/>
      <c r="W44" s="515"/>
      <c r="X44" s="364"/>
      <c r="Y44" s="364"/>
      <c r="Z44" s="1564"/>
      <c r="AA44" s="1563"/>
    </row>
    <row r="45" spans="1:27">
      <c r="A45" s="301"/>
      <c r="B45" s="301"/>
      <c r="C45" s="301"/>
      <c r="D45" s="301"/>
      <c r="E45" s="301"/>
      <c r="F45" s="301" t="s">
        <v>103</v>
      </c>
      <c r="G45" s="301"/>
      <c r="H45" s="301"/>
      <c r="I45" s="301"/>
      <c r="J45" s="301"/>
      <c r="K45" s="301"/>
      <c r="L45" s="301"/>
      <c r="M45" s="301"/>
      <c r="N45" s="301"/>
      <c r="O45" s="301"/>
      <c r="P45" s="301"/>
      <c r="R45" s="274"/>
      <c r="S45" s="301"/>
      <c r="T45" s="301"/>
      <c r="U45" s="301"/>
      <c r="V45" s="364"/>
      <c r="W45" s="364"/>
      <c r="X45" s="364"/>
      <c r="Y45" s="364"/>
      <c r="Z45" s="1564"/>
      <c r="AA45" s="1563"/>
    </row>
    <row r="46" spans="1:27">
      <c r="A46" s="278"/>
      <c r="B46" s="301"/>
      <c r="C46" s="301"/>
      <c r="D46" s="301"/>
      <c r="E46" s="301"/>
      <c r="F46" s="301"/>
      <c r="G46" s="301"/>
      <c r="H46" s="301"/>
      <c r="I46" s="301"/>
      <c r="J46" s="301"/>
      <c r="K46" s="301"/>
      <c r="L46" s="301"/>
      <c r="M46" s="301"/>
      <c r="N46" s="301"/>
      <c r="O46" s="301"/>
      <c r="P46" s="301"/>
      <c r="Q46" s="301"/>
      <c r="R46" s="301"/>
      <c r="S46" s="301"/>
      <c r="T46" s="301"/>
      <c r="U46" s="301"/>
      <c r="V46" s="364"/>
      <c r="W46" s="364"/>
      <c r="X46" s="364"/>
      <c r="Y46" s="364"/>
      <c r="Z46" s="1564"/>
      <c r="AA46" s="1563"/>
    </row>
    <row r="47" spans="1:27">
      <c r="A47" s="301"/>
      <c r="B47" s="301"/>
      <c r="C47" s="301"/>
      <c r="D47" s="301"/>
      <c r="E47" s="301"/>
      <c r="F47" s="301"/>
      <c r="G47" s="301"/>
      <c r="H47" s="301"/>
      <c r="I47" s="301"/>
      <c r="J47" s="301"/>
      <c r="K47" s="301"/>
      <c r="L47" s="301"/>
      <c r="M47" s="301"/>
      <c r="N47" s="301"/>
      <c r="O47" s="301"/>
      <c r="P47" s="301"/>
      <c r="Q47" s="301"/>
      <c r="R47" s="301"/>
      <c r="S47" s="301"/>
      <c r="T47" s="301"/>
      <c r="U47" s="301"/>
      <c r="V47" s="364"/>
      <c r="W47" s="364"/>
      <c r="X47" s="364"/>
      <c r="Y47" s="364"/>
      <c r="Z47" s="1564"/>
      <c r="AA47" s="1563"/>
    </row>
    <row r="48" spans="1:27">
      <c r="A48" s="301"/>
      <c r="B48" s="301"/>
      <c r="C48" s="301"/>
      <c r="D48" s="301"/>
      <c r="E48" s="301"/>
      <c r="F48" s="301"/>
      <c r="G48" s="301"/>
      <c r="H48" s="301"/>
      <c r="I48" s="301"/>
      <c r="J48" s="301"/>
      <c r="K48" s="301"/>
      <c r="L48" s="301"/>
      <c r="M48" s="301"/>
      <c r="N48" s="301"/>
      <c r="O48" s="301"/>
      <c r="P48" s="301"/>
      <c r="Q48" s="301"/>
      <c r="R48" s="301"/>
      <c r="S48" s="301"/>
      <c r="T48" s="301"/>
      <c r="U48" s="301"/>
      <c r="V48" s="364"/>
      <c r="W48" s="364"/>
      <c r="X48" s="364"/>
      <c r="Y48" s="364"/>
      <c r="Z48" s="1564"/>
      <c r="AA48" s="1563"/>
    </row>
    <row r="49" spans="1:27">
      <c r="A49" s="301"/>
      <c r="B49" s="301"/>
      <c r="C49" s="301"/>
      <c r="D49" s="301"/>
      <c r="E49" s="301"/>
      <c r="F49" s="301"/>
      <c r="G49" s="301"/>
      <c r="H49" s="301"/>
      <c r="I49" s="301"/>
      <c r="J49" s="301"/>
      <c r="K49" s="301"/>
      <c r="L49" s="301"/>
      <c r="M49" s="301"/>
      <c r="N49" s="301"/>
      <c r="O49" s="301"/>
      <c r="P49" s="301"/>
      <c r="Q49" s="301"/>
      <c r="R49" s="301"/>
      <c r="S49" s="301"/>
      <c r="T49" s="301"/>
      <c r="U49" s="301"/>
      <c r="V49" s="364"/>
      <c r="W49" s="364"/>
      <c r="X49" s="364"/>
      <c r="Y49" s="364"/>
      <c r="Z49" s="1564"/>
      <c r="AA49" s="1563"/>
    </row>
    <row r="50" spans="1:27">
      <c r="A50" s="301"/>
      <c r="B50" s="301"/>
      <c r="C50" s="301"/>
      <c r="D50" s="301"/>
      <c r="E50" s="301"/>
      <c r="F50" s="301"/>
      <c r="G50" s="301"/>
      <c r="H50" s="301"/>
      <c r="I50" s="301"/>
      <c r="J50" s="301"/>
      <c r="K50" s="301"/>
      <c r="L50" s="301"/>
      <c r="M50" s="301"/>
      <c r="N50" s="301"/>
      <c r="O50" s="301"/>
      <c r="P50" s="301"/>
      <c r="Q50" s="301"/>
      <c r="R50" s="301"/>
      <c r="S50" s="301"/>
      <c r="T50" s="301"/>
      <c r="U50" s="301"/>
      <c r="V50" s="364"/>
      <c r="W50" s="364"/>
      <c r="X50" s="364"/>
      <c r="Y50" s="364"/>
      <c r="Z50" s="1564"/>
      <c r="AA50" s="1563"/>
    </row>
    <row r="51" spans="1:27">
      <c r="A51" s="301"/>
      <c r="B51" s="301"/>
      <c r="C51" s="301"/>
      <c r="D51" s="301"/>
      <c r="E51" s="301"/>
      <c r="F51" s="301"/>
      <c r="G51" s="301"/>
      <c r="H51" s="301"/>
      <c r="I51" s="301"/>
      <c r="J51" s="301"/>
      <c r="K51" s="301"/>
      <c r="L51" s="301"/>
      <c r="M51" s="301"/>
      <c r="N51" s="301"/>
      <c r="O51" s="301"/>
      <c r="P51" s="301"/>
      <c r="Q51" s="301"/>
      <c r="R51" s="301"/>
      <c r="S51" s="301"/>
      <c r="T51" s="301"/>
      <c r="U51" s="301"/>
      <c r="V51" s="364"/>
      <c r="W51" s="364"/>
      <c r="X51" s="364"/>
      <c r="Y51" s="364"/>
      <c r="Z51" s="1564"/>
      <c r="AA51" s="1563"/>
    </row>
    <row r="52" spans="1:27">
      <c r="A52" s="301"/>
      <c r="B52" s="301"/>
      <c r="C52" s="301"/>
      <c r="D52" s="301"/>
      <c r="E52" s="301"/>
      <c r="F52" s="301"/>
      <c r="G52" s="301"/>
      <c r="H52" s="301"/>
      <c r="I52" s="301"/>
      <c r="J52" s="301"/>
      <c r="K52" s="301"/>
      <c r="L52" s="301"/>
      <c r="M52" s="301"/>
      <c r="N52" s="301"/>
      <c r="O52" s="301"/>
      <c r="P52" s="301"/>
      <c r="Q52" s="301"/>
      <c r="R52" s="301"/>
      <c r="S52" s="301"/>
      <c r="T52" s="301"/>
      <c r="U52" s="301"/>
      <c r="V52" s="364"/>
      <c r="W52" s="364"/>
      <c r="X52" s="364"/>
      <c r="Y52" s="364"/>
      <c r="Z52" s="1564"/>
      <c r="AA52" s="1563"/>
    </row>
    <row r="53" spans="1:27">
      <c r="A53" s="301"/>
      <c r="B53" s="301"/>
      <c r="C53" s="301"/>
      <c r="D53" s="301"/>
      <c r="E53" s="301"/>
      <c r="F53" s="301"/>
      <c r="G53" s="301"/>
      <c r="H53" s="301"/>
      <c r="I53" s="301"/>
      <c r="J53" s="301"/>
      <c r="K53" s="301"/>
      <c r="L53" s="301"/>
      <c r="M53" s="301"/>
      <c r="N53" s="301"/>
      <c r="O53" s="301"/>
      <c r="P53" s="301"/>
      <c r="Q53" s="301"/>
      <c r="R53" s="301"/>
      <c r="S53" s="301"/>
      <c r="T53" s="301"/>
      <c r="U53" s="301"/>
      <c r="V53" s="364"/>
      <c r="W53" s="364"/>
      <c r="X53" s="364"/>
      <c r="Y53" s="364"/>
      <c r="Z53" s="1564"/>
      <c r="AA53" s="1563"/>
    </row>
    <row r="54" spans="1:27">
      <c r="A54" s="301"/>
      <c r="B54" s="301"/>
      <c r="C54" s="301"/>
      <c r="D54" s="301"/>
      <c r="E54" s="301"/>
      <c r="F54" s="301"/>
      <c r="G54" s="301"/>
      <c r="H54" s="301"/>
      <c r="I54" s="301"/>
      <c r="J54" s="301"/>
      <c r="K54" s="301"/>
      <c r="L54" s="301"/>
      <c r="M54" s="301"/>
      <c r="N54" s="301"/>
      <c r="O54" s="301"/>
      <c r="P54" s="301"/>
      <c r="Q54" s="301"/>
      <c r="R54" s="301"/>
      <c r="S54" s="301"/>
      <c r="T54" s="301"/>
      <c r="U54" s="301"/>
      <c r="V54" s="364"/>
      <c r="W54" s="364"/>
      <c r="X54" s="364"/>
      <c r="Y54" s="364"/>
      <c r="Z54" s="1564"/>
      <c r="AA54" s="1563"/>
    </row>
    <row r="55" spans="1:27">
      <c r="A55" s="301"/>
      <c r="B55" s="301"/>
      <c r="C55" s="301"/>
      <c r="D55" s="301"/>
      <c r="E55" s="301"/>
      <c r="F55" s="301"/>
      <c r="G55" s="301"/>
      <c r="H55" s="301"/>
      <c r="I55" s="301"/>
      <c r="J55" s="301"/>
      <c r="K55" s="301"/>
      <c r="L55" s="301"/>
      <c r="M55" s="301"/>
      <c r="N55" s="301"/>
      <c r="O55" s="301"/>
      <c r="P55" s="301"/>
      <c r="Q55" s="301"/>
      <c r="R55" s="301"/>
      <c r="S55" s="301"/>
      <c r="T55" s="301"/>
      <c r="U55" s="301"/>
      <c r="V55" s="364"/>
      <c r="W55" s="364"/>
      <c r="X55" s="364"/>
      <c r="Y55" s="364"/>
      <c r="Z55" s="1564"/>
      <c r="AA55" s="1563"/>
    </row>
    <row r="56" spans="1:27">
      <c r="A56" s="301"/>
      <c r="B56" s="301"/>
      <c r="C56" s="301"/>
      <c r="D56" s="301"/>
      <c r="E56" s="301"/>
      <c r="F56" s="301"/>
      <c r="G56" s="301"/>
      <c r="H56" s="301"/>
      <c r="I56" s="301"/>
      <c r="J56" s="301"/>
      <c r="K56" s="301"/>
      <c r="L56" s="301"/>
      <c r="M56" s="301"/>
      <c r="N56" s="301"/>
      <c r="O56" s="301"/>
      <c r="P56" s="301"/>
      <c r="Q56" s="301"/>
      <c r="R56" s="301"/>
      <c r="S56" s="301"/>
      <c r="T56" s="301"/>
      <c r="U56" s="301"/>
      <c r="V56" s="301"/>
      <c r="W56" s="301"/>
    </row>
    <row r="57" spans="1:27">
      <c r="A57" s="301"/>
      <c r="B57" s="301"/>
      <c r="C57" s="301"/>
      <c r="D57" s="301"/>
      <c r="E57" s="301"/>
      <c r="F57" s="301"/>
      <c r="G57" s="301"/>
      <c r="H57" s="301"/>
      <c r="I57" s="301"/>
      <c r="J57" s="301"/>
      <c r="K57" s="301"/>
      <c r="L57" s="301"/>
      <c r="M57" s="301"/>
      <c r="N57" s="301"/>
      <c r="O57" s="301"/>
      <c r="P57" s="301"/>
      <c r="Q57" s="301"/>
      <c r="R57" s="301"/>
      <c r="S57" s="301"/>
      <c r="T57" s="301"/>
      <c r="U57" s="301"/>
      <c r="V57" s="301"/>
      <c r="W57" s="301"/>
    </row>
    <row r="58" spans="1:27">
      <c r="A58" s="301"/>
      <c r="B58" s="301"/>
      <c r="C58" s="301"/>
      <c r="D58" s="301"/>
      <c r="E58" s="301"/>
      <c r="F58" s="301"/>
      <c r="G58" s="301"/>
      <c r="H58" s="301"/>
      <c r="I58" s="301"/>
      <c r="J58" s="301"/>
      <c r="K58" s="301"/>
      <c r="L58" s="301"/>
      <c r="M58" s="301"/>
      <c r="N58" s="301"/>
      <c r="O58" s="301"/>
      <c r="P58" s="301"/>
      <c r="Q58" s="301"/>
      <c r="R58" s="301"/>
      <c r="S58" s="301"/>
      <c r="T58" s="301"/>
      <c r="U58" s="301"/>
      <c r="V58" s="301"/>
      <c r="W58" s="301"/>
    </row>
    <row r="59" spans="1:27">
      <c r="A59" s="301"/>
      <c r="B59" s="301"/>
      <c r="C59" s="301"/>
      <c r="D59" s="301"/>
      <c r="E59" s="301"/>
      <c r="F59" s="301"/>
      <c r="G59" s="301"/>
      <c r="H59" s="301"/>
      <c r="I59" s="301"/>
      <c r="J59" s="301"/>
      <c r="K59" s="301"/>
      <c r="L59" s="301"/>
      <c r="M59" s="301"/>
      <c r="N59" s="301"/>
      <c r="O59" s="301"/>
      <c r="P59" s="301"/>
      <c r="Q59" s="301"/>
      <c r="R59" s="301"/>
      <c r="S59" s="301"/>
      <c r="T59" s="301"/>
      <c r="U59" s="301"/>
      <c r="V59" s="301"/>
      <c r="W59" s="301"/>
    </row>
    <row r="60" spans="1:27">
      <c r="A60" s="301"/>
      <c r="B60" s="301"/>
      <c r="C60" s="301"/>
      <c r="D60" s="301"/>
      <c r="E60" s="301"/>
      <c r="F60" s="301"/>
      <c r="G60" s="301"/>
      <c r="H60" s="301"/>
      <c r="I60" s="301"/>
      <c r="J60" s="301"/>
      <c r="K60" s="301"/>
      <c r="L60" s="301"/>
      <c r="M60" s="301"/>
      <c r="N60" s="301"/>
      <c r="O60" s="301"/>
      <c r="P60" s="301"/>
      <c r="Q60" s="301"/>
      <c r="R60" s="301"/>
      <c r="S60" s="301"/>
      <c r="T60" s="301"/>
      <c r="U60" s="301"/>
      <c r="V60" s="301"/>
      <c r="W60" s="301"/>
    </row>
    <row r="61" spans="1:27">
      <c r="A61" s="301"/>
      <c r="B61" s="301"/>
      <c r="C61" s="301"/>
      <c r="D61" s="301"/>
      <c r="E61" s="301"/>
      <c r="F61" s="301"/>
      <c r="G61" s="301"/>
      <c r="H61" s="301"/>
      <c r="I61" s="301"/>
      <c r="J61" s="301"/>
      <c r="K61" s="301"/>
      <c r="L61" s="301"/>
      <c r="M61" s="301"/>
      <c r="N61" s="301"/>
      <c r="O61" s="301"/>
      <c r="P61" s="301"/>
      <c r="Q61" s="301"/>
      <c r="R61" s="301"/>
      <c r="S61" s="301"/>
      <c r="T61" s="301"/>
      <c r="U61" s="301"/>
      <c r="V61" s="301"/>
      <c r="W61" s="301"/>
    </row>
  </sheetData>
  <mergeCells count="1">
    <mergeCell ref="W12:Y12"/>
  </mergeCells>
  <printOptions horizontalCentered="1"/>
  <pageMargins left="0.25" right="0.25" top="0.5" bottom="0.5" header="0" footer="0.25"/>
  <pageSetup scale="58" firstPageNumber="7"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1.69140625" style="23" customWidth="1"/>
    <col min="9" max="9" width="14.69140625" style="23" customWidth="1"/>
    <col min="10" max="10" width="1.69140625" style="23" customWidth="1"/>
    <col min="11" max="11" width="14.07421875" style="23" customWidth="1"/>
    <col min="12" max="12" width="8.69140625" style="23"/>
    <col min="13" max="13" width="10.07421875" style="23" bestFit="1" customWidth="1"/>
    <col min="14" max="16384" width="8.69140625" style="23"/>
  </cols>
  <sheetData>
    <row r="1" spans="1:11">
      <c r="A1" s="388" t="s">
        <v>97</v>
      </c>
    </row>
    <row r="2" spans="1:11">
      <c r="A2" s="364"/>
    </row>
    <row r="3" spans="1:11" ht="18" customHeight="1">
      <c r="A3" s="981" t="s">
        <v>98</v>
      </c>
      <c r="B3" s="982"/>
      <c r="C3" s="982"/>
      <c r="D3" s="983"/>
      <c r="E3" s="982"/>
      <c r="F3" s="983"/>
      <c r="G3" s="30"/>
      <c r="H3" s="983"/>
      <c r="I3" s="30"/>
      <c r="J3" s="983"/>
      <c r="K3" s="31" t="s">
        <v>231</v>
      </c>
    </row>
    <row r="4" spans="1:11" ht="18" customHeight="1">
      <c r="A4" s="981" t="s">
        <v>232</v>
      </c>
      <c r="B4" s="982"/>
      <c r="C4" s="982"/>
      <c r="D4" s="983"/>
      <c r="E4" s="982"/>
      <c r="F4" s="983"/>
      <c r="G4" s="30"/>
      <c r="H4" s="983"/>
      <c r="I4" s="31"/>
      <c r="J4" s="983"/>
    </row>
    <row r="5" spans="1:11" ht="18" customHeight="1">
      <c r="A5" s="2116" t="s">
        <v>1478</v>
      </c>
      <c r="B5" s="2117"/>
      <c r="C5" s="2117"/>
      <c r="D5" s="2117"/>
      <c r="E5" s="2117"/>
      <c r="F5" s="30"/>
      <c r="G5" s="32"/>
      <c r="H5" s="30"/>
      <c r="I5" s="30"/>
      <c r="J5" s="30"/>
      <c r="K5" s="30"/>
    </row>
    <row r="6" spans="1:11" ht="18" customHeight="1">
      <c r="A6" s="2043" t="s">
        <v>1579</v>
      </c>
      <c r="B6" s="983"/>
      <c r="C6" s="983"/>
      <c r="D6" s="983"/>
      <c r="E6" s="983"/>
      <c r="F6" s="983"/>
      <c r="G6" s="30"/>
      <c r="H6" s="983"/>
      <c r="I6" s="30"/>
      <c r="J6" s="983"/>
      <c r="K6" s="30"/>
    </row>
    <row r="7" spans="1:11" ht="18" customHeight="1">
      <c r="A7" s="984" t="s">
        <v>233</v>
      </c>
      <c r="B7" s="983"/>
      <c r="C7" s="983"/>
      <c r="D7" s="983"/>
      <c r="E7" s="983"/>
      <c r="F7" s="983"/>
      <c r="G7" s="30"/>
      <c r="H7" s="983"/>
      <c r="I7" s="30"/>
      <c r="J7" s="983"/>
      <c r="K7" s="30"/>
    </row>
    <row r="8" spans="1:11" ht="17.5">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c r="A11" s="301"/>
      <c r="B11" s="36"/>
      <c r="C11" s="2118" t="s">
        <v>234</v>
      </c>
      <c r="D11" s="2118"/>
      <c r="E11" s="2118"/>
      <c r="F11" s="2118"/>
      <c r="G11" s="2118"/>
      <c r="H11" s="2118"/>
      <c r="I11" s="2118"/>
      <c r="J11" s="1031"/>
      <c r="K11" s="1255"/>
    </row>
    <row r="12" spans="1:11">
      <c r="A12" s="301"/>
      <c r="B12" s="36"/>
      <c r="C12" s="36"/>
      <c r="D12" s="36"/>
      <c r="E12" s="36"/>
      <c r="F12" s="36"/>
      <c r="G12" s="36"/>
      <c r="H12" s="36"/>
      <c r="I12" s="37" t="s">
        <v>235</v>
      </c>
      <c r="J12" s="36"/>
      <c r="K12" s="37" t="s">
        <v>235</v>
      </c>
    </row>
    <row r="13" spans="1:11">
      <c r="A13" s="301"/>
      <c r="B13" s="36"/>
      <c r="C13" s="36"/>
      <c r="D13" s="36"/>
      <c r="E13" s="36"/>
      <c r="F13" s="36"/>
      <c r="G13" s="36"/>
      <c r="H13" s="36"/>
      <c r="I13" s="37" t="s">
        <v>236</v>
      </c>
      <c r="J13" s="36"/>
      <c r="K13" s="37" t="s">
        <v>236</v>
      </c>
    </row>
    <row r="14" spans="1:11">
      <c r="A14" s="301" t="s">
        <v>237</v>
      </c>
      <c r="B14" s="36"/>
      <c r="C14" s="38" t="s">
        <v>238</v>
      </c>
      <c r="D14" s="36"/>
      <c r="E14" s="37" t="s">
        <v>239</v>
      </c>
      <c r="F14" s="36"/>
      <c r="G14" s="36"/>
      <c r="H14" s="36"/>
      <c r="I14" s="37" t="s">
        <v>240</v>
      </c>
      <c r="J14" s="36"/>
      <c r="K14" s="37" t="s">
        <v>240</v>
      </c>
    </row>
    <row r="15" spans="1:11">
      <c r="A15" s="301"/>
      <c r="B15" s="36"/>
      <c r="C15" s="37" t="s">
        <v>241</v>
      </c>
      <c r="D15" s="36"/>
      <c r="E15" s="37" t="s">
        <v>241</v>
      </c>
      <c r="F15" s="36"/>
      <c r="G15" s="36"/>
      <c r="H15" s="36"/>
      <c r="I15" s="37" t="s">
        <v>238</v>
      </c>
      <c r="J15" s="36"/>
      <c r="K15" s="37" t="s">
        <v>239</v>
      </c>
    </row>
    <row r="16" spans="1:11">
      <c r="A16" s="301"/>
      <c r="B16" s="36"/>
      <c r="C16" s="37" t="s">
        <v>242</v>
      </c>
      <c r="D16" s="36"/>
      <c r="E16" s="37" t="s">
        <v>1522</v>
      </c>
      <c r="F16" s="36"/>
      <c r="G16" s="38" t="s">
        <v>235</v>
      </c>
      <c r="H16" s="36"/>
      <c r="I16" s="37" t="s">
        <v>243</v>
      </c>
      <c r="J16" s="36"/>
      <c r="K16" s="37" t="s">
        <v>243</v>
      </c>
    </row>
    <row r="17" spans="1:13">
      <c r="A17" s="39"/>
      <c r="B17" s="30"/>
      <c r="C17" s="1032"/>
      <c r="D17" s="30"/>
      <c r="E17" s="1032"/>
      <c r="F17" s="30"/>
      <c r="G17" s="1032"/>
      <c r="H17" s="30"/>
      <c r="I17" s="1032"/>
      <c r="J17" s="30"/>
      <c r="K17" s="1032"/>
    </row>
    <row r="18" spans="1:13">
      <c r="A18" s="3" t="s">
        <v>114</v>
      </c>
      <c r="B18" s="266"/>
      <c r="C18" s="266"/>
      <c r="D18" s="266"/>
      <c r="E18" s="266"/>
      <c r="F18" s="266"/>
      <c r="G18" s="266"/>
      <c r="H18" s="266"/>
      <c r="I18" s="266"/>
      <c r="J18" s="266"/>
      <c r="K18" s="266"/>
    </row>
    <row r="19" spans="1:13" ht="15" customHeight="1">
      <c r="A19" s="360" t="s">
        <v>244</v>
      </c>
      <c r="B19" s="389" t="s">
        <v>103</v>
      </c>
      <c r="C19" s="694"/>
      <c r="D19" s="389"/>
      <c r="E19" s="694"/>
      <c r="F19" s="389"/>
      <c r="G19" s="390"/>
      <c r="H19" s="389"/>
      <c r="I19" s="390"/>
      <c r="J19" s="389"/>
      <c r="K19" s="390"/>
    </row>
    <row r="20" spans="1:13">
      <c r="A20" s="360" t="s">
        <v>245</v>
      </c>
      <c r="B20" s="389" t="s">
        <v>103</v>
      </c>
      <c r="C20" s="284">
        <f>'Exh D General Fund'!C20+'Exh D Special Revenue'!C20+'Exh D Debt Service'!C20</f>
        <v>52001</v>
      </c>
      <c r="D20" s="286"/>
      <c r="E20" s="284">
        <f>+'Exh D General Fund'!E20+'Exh D Special Revenue'!E20+'Exh D Debt Service'!E20</f>
        <v>56044</v>
      </c>
      <c r="F20" s="286"/>
      <c r="G20" s="284">
        <f>+'Exh D General Fund'!G20+'Exh D Special Revenue'!G20+'Exh D Debt Service'!G20</f>
        <v>56071.399999999994</v>
      </c>
      <c r="H20" s="286"/>
      <c r="I20" s="284">
        <f>G20-C20</f>
        <v>4070.3999999999942</v>
      </c>
      <c r="J20" s="286"/>
      <c r="K20" s="284">
        <f>G20-E20</f>
        <v>27.399999999994179</v>
      </c>
      <c r="M20" s="436"/>
    </row>
    <row r="21" spans="1:13">
      <c r="A21" s="360" t="s">
        <v>246</v>
      </c>
      <c r="B21" s="266" t="s">
        <v>103</v>
      </c>
      <c r="C21" s="274">
        <f>+'Exh D General Fund'!C21+'Exh D Debt Service'!C21+'Exh D Special Revenue'!C21+'Exh D Capital Projects'!C20</f>
        <v>20403</v>
      </c>
      <c r="D21" s="274"/>
      <c r="E21" s="274">
        <f>+'Exh D General Fund'!E21+'Exh D Special Revenue'!E21+'Exh D Debt Service'!E21+'Exh D Capital Projects'!E20</f>
        <v>20464</v>
      </c>
      <c r="F21" s="274"/>
      <c r="G21" s="274">
        <f>+'Exh D General Fund'!G21+'Exh D Special Revenue'!G21+'Exh D Debt Service'!G21+'Exh D Capital Projects'!G20</f>
        <v>20472.400000000001</v>
      </c>
      <c r="H21" s="274"/>
      <c r="I21" s="274">
        <f>G21-C21</f>
        <v>69.400000000001455</v>
      </c>
      <c r="J21" s="274"/>
      <c r="K21" s="274">
        <f t="shared" ref="K21:K25" si="0">G21-E21</f>
        <v>8.4000000000014552</v>
      </c>
      <c r="M21" s="436"/>
    </row>
    <row r="22" spans="1:13" ht="15" customHeight="1">
      <c r="A22" s="360" t="s">
        <v>247</v>
      </c>
      <c r="B22" s="389" t="s">
        <v>103</v>
      </c>
      <c r="C22" s="274">
        <f>+'Exh D General Fund'!C22+'Exh D Special Revenue'!C22+'Exh D Capital Projects'!C21+'Exh D Debt Service'!C22</f>
        <v>20531</v>
      </c>
      <c r="D22" s="297"/>
      <c r="E22" s="274">
        <f>+'Exh D General Fund'!E22+'Exh D Special Revenue'!E22+'Exh D Capital Projects'!E21+'Exh D Debt Service'!E22</f>
        <v>21059</v>
      </c>
      <c r="F22" s="297"/>
      <c r="G22" s="274">
        <f>+'Exh D General Fund'!G22+'Exh D Special Revenue'!G22+'Exh D Capital Projects'!G21+'Exh D Debt Service'!G22</f>
        <v>21371.599999999999</v>
      </c>
      <c r="H22" s="297"/>
      <c r="I22" s="274">
        <f t="shared" ref="I22:I25" si="1">G22-C22</f>
        <v>840.59999999999854</v>
      </c>
      <c r="J22" s="297"/>
      <c r="K22" s="274">
        <f t="shared" si="0"/>
        <v>312.59999999999854</v>
      </c>
      <c r="M22" s="436"/>
    </row>
    <row r="23" spans="1:13" ht="14.25" customHeight="1">
      <c r="A23" s="360" t="s">
        <v>248</v>
      </c>
      <c r="B23" s="266" t="s">
        <v>103</v>
      </c>
      <c r="C23" s="274">
        <f>+'Exh D General Fund'!C23+'Exh D Capital Projects'!C22+'Exh D Debt Service'!C23</f>
        <v>2376</v>
      </c>
      <c r="D23" s="274"/>
      <c r="E23" s="274">
        <f>+'Exh D General Fund'!E23+'Exh D Debt Service'!E23+'Exh D Capital Projects'!E22</f>
        <v>2421</v>
      </c>
      <c r="F23" s="274"/>
      <c r="G23" s="274">
        <f>+'Exh D General Fund'!G23+'Exh D Debt Service'!G23+'Exh D Capital Projects'!G22</f>
        <v>2401.1</v>
      </c>
      <c r="H23" s="274"/>
      <c r="I23" s="274">
        <f t="shared" si="1"/>
        <v>25.099999999999909</v>
      </c>
      <c r="J23" s="274"/>
      <c r="K23" s="274">
        <f t="shared" si="0"/>
        <v>-19.900000000000091</v>
      </c>
      <c r="L23" s="436"/>
      <c r="M23" s="436"/>
    </row>
    <row r="24" spans="1:13">
      <c r="A24" s="360" t="s">
        <v>119</v>
      </c>
      <c r="B24" s="266" t="s">
        <v>103</v>
      </c>
      <c r="C24" s="274">
        <f>+'Exh D General Fund'!C24+'Exh D Special Revenue'!C23+'Exh D Debt Service'!C24+'Exh D Capital Projects'!C23</f>
        <v>28142</v>
      </c>
      <c r="D24" s="274"/>
      <c r="E24" s="274">
        <f>+'Exh D General Fund'!E24+'Exh D Special Revenue'!E23+'Exh D Debt Service'!E24+'Exh D Capital Projects'!E23</f>
        <v>29259</v>
      </c>
      <c r="F24" s="274"/>
      <c r="G24" s="274">
        <f>+'Exh D General Fund'!G24+'Exh D Special Revenue'!G23+'Exh D Debt Service'!G24+'Exh D Capital Projects'!G23</f>
        <v>30165.200000000004</v>
      </c>
      <c r="H24" s="274"/>
      <c r="I24" s="274">
        <f t="shared" si="1"/>
        <v>2023.2000000000044</v>
      </c>
      <c r="J24" s="274"/>
      <c r="K24" s="274">
        <f t="shared" si="0"/>
        <v>906.20000000000437</v>
      </c>
      <c r="M24" s="436"/>
    </row>
    <row r="25" spans="1:13" ht="15" customHeight="1">
      <c r="A25" s="360" t="s">
        <v>120</v>
      </c>
      <c r="B25" s="266" t="s">
        <v>103</v>
      </c>
      <c r="C25" s="298">
        <f>+'Exh D General Fund'!C25+'Exh D Debt Service'!C25+'Exh D Special Revenue'!C24+'Exh D Capital Projects'!C24</f>
        <v>85995</v>
      </c>
      <c r="D25" s="274"/>
      <c r="E25" s="298">
        <f>+'Exh D General Fund'!E25+'Exh D Special Revenue'!E24+'Exh D Debt Service'!E25+'Exh D Capital Projects'!E24</f>
        <v>90599</v>
      </c>
      <c r="F25" s="274"/>
      <c r="G25" s="298">
        <f>+'Exh D General Fund'!G25+'Exh D Special Revenue'!G24+'Exh D Debt Service'!G25+'Exh D Capital Projects'!G24</f>
        <v>90384.5</v>
      </c>
      <c r="H25" s="274"/>
      <c r="I25" s="274">
        <f t="shared" si="1"/>
        <v>4389.5</v>
      </c>
      <c r="J25" s="274"/>
      <c r="K25" s="274">
        <f t="shared" si="0"/>
        <v>-214.5</v>
      </c>
      <c r="M25" s="436"/>
    </row>
    <row r="26" spans="1:13">
      <c r="A26" s="1248" t="s">
        <v>249</v>
      </c>
      <c r="B26" s="36" t="s">
        <v>103</v>
      </c>
      <c r="C26" s="631">
        <f>ROUND(SUM(C20:C25),1)</f>
        <v>209448</v>
      </c>
      <c r="D26" s="13"/>
      <c r="E26" s="631">
        <f>ROUND(SUM(E20:E25),1)</f>
        <v>219846</v>
      </c>
      <c r="F26" s="13"/>
      <c r="G26" s="631">
        <f>ROUND(SUM(G20:G25),1)</f>
        <v>220866.2</v>
      </c>
      <c r="H26" s="13"/>
      <c r="I26" s="631">
        <f>ROUND(SUM(I20:I25),1)</f>
        <v>11418.2</v>
      </c>
      <c r="J26" s="13"/>
      <c r="K26" s="631">
        <f>ROUND(SUM(K20:K25),1)</f>
        <v>1020.2</v>
      </c>
      <c r="M26" s="436"/>
    </row>
    <row r="27" spans="1:13">
      <c r="A27" s="301"/>
      <c r="B27" s="266" t="s">
        <v>103</v>
      </c>
      <c r="C27" s="629"/>
      <c r="D27" s="274"/>
      <c r="E27" s="629"/>
      <c r="F27" s="274"/>
      <c r="G27" s="629"/>
      <c r="H27" s="274"/>
      <c r="I27" s="629"/>
      <c r="J27" s="274"/>
      <c r="K27" s="629"/>
      <c r="M27" s="436"/>
    </row>
    <row r="28" spans="1:13">
      <c r="A28" s="3" t="s">
        <v>122</v>
      </c>
      <c r="B28" s="266" t="s">
        <v>103</v>
      </c>
      <c r="C28" s="274"/>
      <c r="D28" s="274"/>
      <c r="E28" s="274"/>
      <c r="F28" s="274"/>
      <c r="G28" s="274"/>
      <c r="H28" s="274"/>
      <c r="I28" s="274"/>
      <c r="J28" s="274"/>
      <c r="K28" s="274"/>
      <c r="M28" s="436"/>
    </row>
    <row r="29" spans="1:13">
      <c r="A29" s="360" t="s">
        <v>250</v>
      </c>
      <c r="B29" s="266" t="s">
        <v>103</v>
      </c>
      <c r="C29" s="298">
        <f>+'Exh D General Fund'!C34+'Exh D Special Revenue'!C29+'Exh D Capital Projects'!C30</f>
        <v>163099</v>
      </c>
      <c r="D29" s="274"/>
      <c r="E29" s="298">
        <f>+'Exh D General Fund'!E34+'Exh D Special Revenue'!E29+'Exh D Capital Projects'!E30</f>
        <v>168042</v>
      </c>
      <c r="F29" s="274"/>
      <c r="G29" s="298">
        <f>+'Exh D General Fund'!G34+'Exh D Special Revenue'!G29+'Exh D Capital Projects'!G30</f>
        <v>165991.29999999999</v>
      </c>
      <c r="H29" s="274"/>
      <c r="I29" s="274">
        <f t="shared" ref="I29:I33" si="2">G29-C29</f>
        <v>2892.2999999999884</v>
      </c>
      <c r="J29" s="274"/>
      <c r="K29" s="274">
        <f t="shared" ref="K29:K33" si="3">G29-E29</f>
        <v>-2050.7000000000116</v>
      </c>
      <c r="M29" s="436"/>
    </row>
    <row r="30" spans="1:13">
      <c r="A30" s="360" t="s">
        <v>251</v>
      </c>
      <c r="B30" s="266" t="s">
        <v>103</v>
      </c>
      <c r="C30" s="297">
        <f>+'Exh D General Fund'!C35+'Exh D Special Revenue'!C30+'Exh D Debt Service'!C30</f>
        <v>23665</v>
      </c>
      <c r="D30" s="274"/>
      <c r="E30" s="297">
        <f>+'Exh D General Fund'!E35+'Exh D Special Revenue'!E30+'Exh D Debt Service'!E30</f>
        <v>24042</v>
      </c>
      <c r="F30" s="274"/>
      <c r="G30" s="297">
        <f>+'Exh D General Fund'!G35+'Exh D Special Revenue'!G30+'Exh D Debt Service'!G30</f>
        <v>24386.800000000003</v>
      </c>
      <c r="H30" s="274"/>
      <c r="I30" s="274">
        <f t="shared" si="2"/>
        <v>721.80000000000291</v>
      </c>
      <c r="J30" s="274"/>
      <c r="K30" s="274">
        <f t="shared" si="3"/>
        <v>344.80000000000291</v>
      </c>
      <c r="M30" s="436"/>
    </row>
    <row r="31" spans="1:13">
      <c r="A31" s="360" t="s">
        <v>216</v>
      </c>
      <c r="B31" s="266" t="s">
        <v>103</v>
      </c>
      <c r="C31" s="298">
        <f>+'Exh D General Fund'!C36+'Exh D Special Revenue'!C31</f>
        <v>8105</v>
      </c>
      <c r="D31" s="274"/>
      <c r="E31" s="298">
        <f>+'Exh D General Fund'!E36+'Exh D Special Revenue'!E31</f>
        <v>8059</v>
      </c>
      <c r="F31" s="274"/>
      <c r="G31" s="298">
        <f>+'Exh D General Fund'!G36+'Exh D Special Revenue'!G31</f>
        <v>9441.2999999999993</v>
      </c>
      <c r="H31" s="274"/>
      <c r="I31" s="274">
        <f t="shared" si="2"/>
        <v>1336.2999999999993</v>
      </c>
      <c r="J31" s="274"/>
      <c r="K31" s="274">
        <f t="shared" si="3"/>
        <v>1382.2999999999993</v>
      </c>
      <c r="M31" s="436"/>
    </row>
    <row r="32" spans="1:13">
      <c r="A32" s="360" t="s">
        <v>252</v>
      </c>
      <c r="B32" s="266" t="s">
        <v>103</v>
      </c>
      <c r="C32" s="297">
        <f>+'Exh D Debt Service'!C31+'Exh D Special Revenue'!C32</f>
        <v>767</v>
      </c>
      <c r="D32" s="274"/>
      <c r="E32" s="297">
        <f>+'Exh D Debt Service'!E31+'Exh D Special Revenue'!E32</f>
        <v>588</v>
      </c>
      <c r="F32" s="274"/>
      <c r="G32" s="297">
        <f>+'Exh D Debt Service'!G31+'Exh D Special Revenue'!K32</f>
        <v>481.8</v>
      </c>
      <c r="H32" s="274"/>
      <c r="I32" s="274">
        <f t="shared" si="2"/>
        <v>-285.2</v>
      </c>
      <c r="J32" s="274"/>
      <c r="K32" s="274">
        <f t="shared" si="3"/>
        <v>-106.19999999999999</v>
      </c>
      <c r="M32" s="436"/>
    </row>
    <row r="33" spans="1:14" ht="15" customHeight="1">
      <c r="A33" s="360" t="s">
        <v>140</v>
      </c>
      <c r="B33" s="266" t="s">
        <v>103</v>
      </c>
      <c r="C33" s="298">
        <f>+'Exh D Special Revenue'!C33+'Exh D Capital Projects'!C31</f>
        <v>11738</v>
      </c>
      <c r="D33" s="274"/>
      <c r="E33" s="298">
        <f>+'Exh D Special Revenue'!E33+'Exh D Capital Projects'!E31</f>
        <v>10584</v>
      </c>
      <c r="F33" s="274"/>
      <c r="G33" s="298">
        <f>+'Exh D Special Revenue'!G33+'Exh D Capital Projects'!G31</f>
        <v>8688.7000000000007</v>
      </c>
      <c r="H33" s="274"/>
      <c r="I33" s="274">
        <f t="shared" si="2"/>
        <v>-3049.2999999999993</v>
      </c>
      <c r="J33" s="274"/>
      <c r="K33" s="274">
        <f t="shared" si="3"/>
        <v>-1895.2999999999993</v>
      </c>
      <c r="M33" s="436"/>
    </row>
    <row r="34" spans="1:14" ht="15.75" customHeight="1">
      <c r="A34" s="1248" t="s">
        <v>253</v>
      </c>
      <c r="B34" s="36" t="s">
        <v>103</v>
      </c>
      <c r="C34" s="630">
        <f>ROUND(SUM(C29:C33),1)</f>
        <v>207374</v>
      </c>
      <c r="D34" s="13"/>
      <c r="E34" s="630">
        <f>ROUND(SUM(E29:E33),1)</f>
        <v>211315</v>
      </c>
      <c r="F34" s="13"/>
      <c r="G34" s="630">
        <f>ROUND(SUM(G29:G33),1)</f>
        <v>208989.9</v>
      </c>
      <c r="H34" s="13"/>
      <c r="I34" s="630">
        <f>ROUND(SUM(I29:I33),1)</f>
        <v>1615.9</v>
      </c>
      <c r="J34" s="13"/>
      <c r="K34" s="630">
        <f>ROUND(SUM(K29:K33),1)</f>
        <v>-2325.1</v>
      </c>
      <c r="M34" s="436"/>
    </row>
    <row r="35" spans="1:14">
      <c r="A35" s="301"/>
      <c r="B35" s="266"/>
      <c r="C35" s="274"/>
      <c r="D35" s="274"/>
      <c r="E35" s="274"/>
      <c r="F35" s="274"/>
      <c r="G35" s="274"/>
      <c r="H35" s="274"/>
      <c r="I35" s="274"/>
      <c r="J35" s="274"/>
      <c r="K35" s="274"/>
      <c r="M35" s="436"/>
    </row>
    <row r="36" spans="1:14">
      <c r="A36" s="1248" t="s">
        <v>143</v>
      </c>
      <c r="B36" s="266"/>
      <c r="C36" s="274"/>
      <c r="D36" s="274"/>
      <c r="E36" s="274"/>
      <c r="F36" s="274"/>
      <c r="G36" s="274"/>
      <c r="H36" s="274"/>
      <c r="I36" s="274"/>
      <c r="J36" s="274"/>
      <c r="K36" s="274"/>
      <c r="M36" s="436"/>
    </row>
    <row r="37" spans="1:14">
      <c r="A37" s="1248" t="s">
        <v>144</v>
      </c>
      <c r="B37" s="266" t="s">
        <v>103</v>
      </c>
      <c r="C37" s="367">
        <f>ROUND(SUM(+C26-C34),1)</f>
        <v>2074</v>
      </c>
      <c r="D37" s="274"/>
      <c r="E37" s="367">
        <f>ROUND(SUM(+E26-E34),1)</f>
        <v>8531</v>
      </c>
      <c r="F37" s="274"/>
      <c r="G37" s="367">
        <f>ROUND(SUM(+G26-G34),1)</f>
        <v>11876.3</v>
      </c>
      <c r="H37" s="274"/>
      <c r="I37" s="367">
        <f>ROUND(SUM(+I26-I34),1)</f>
        <v>9802.2999999999993</v>
      </c>
      <c r="J37" s="274"/>
      <c r="K37" s="367">
        <f>ROUND(SUM(+K26-K34),1)</f>
        <v>3345.3</v>
      </c>
      <c r="M37" s="436"/>
    </row>
    <row r="38" spans="1:14">
      <c r="A38" s="301"/>
      <c r="B38" s="266"/>
      <c r="C38" s="274"/>
      <c r="D38" s="274"/>
      <c r="E38" s="274"/>
      <c r="F38" s="274"/>
      <c r="G38" s="274"/>
      <c r="H38" s="274"/>
      <c r="I38" s="274"/>
      <c r="J38" s="274"/>
      <c r="K38" s="274"/>
      <c r="M38" s="436"/>
    </row>
    <row r="39" spans="1:14">
      <c r="A39" s="1248" t="s">
        <v>145</v>
      </c>
      <c r="B39" s="266"/>
      <c r="C39" s="274"/>
      <c r="D39" s="274"/>
      <c r="E39" s="274"/>
      <c r="F39" s="274"/>
      <c r="G39" s="274"/>
      <c r="H39" s="274"/>
      <c r="I39" s="274"/>
      <c r="J39" s="274"/>
      <c r="K39" s="274"/>
      <c r="M39" s="436"/>
      <c r="N39" s="301" t="s">
        <v>103</v>
      </c>
    </row>
    <row r="40" spans="1:14">
      <c r="A40" s="360" t="s">
        <v>254</v>
      </c>
      <c r="B40" s="266" t="s">
        <v>103</v>
      </c>
      <c r="C40" s="299">
        <f>'Exh D Captl Projects State Fed'!C25</f>
        <v>0</v>
      </c>
      <c r="D40" s="274"/>
      <c r="E40" s="299">
        <f>'Exh D Captl Projects State Fed'!E25</f>
        <v>0</v>
      </c>
      <c r="F40" s="274"/>
      <c r="G40" s="299">
        <f>'Exh D Captl Projects State Fed'!G25</f>
        <v>0</v>
      </c>
      <c r="H40" s="274"/>
      <c r="I40" s="274">
        <f t="shared" ref="I40:I42" si="4">G40-C40</f>
        <v>0</v>
      </c>
      <c r="J40" s="274"/>
      <c r="K40" s="274">
        <f t="shared" ref="K40:K42" si="5">G40-E40</f>
        <v>0</v>
      </c>
      <c r="M40" s="436"/>
    </row>
    <row r="41" spans="1:14">
      <c r="A41" s="360" t="s">
        <v>147</v>
      </c>
      <c r="B41" s="266" t="s">
        <v>103</v>
      </c>
      <c r="C41" s="297">
        <f>+'Exh D General Fund'!C27+'Exh D General Fund'!C28+'Exh D General Fund'!C29+'Exh D General Fund'!C30+'Exh D Special Revenue'!C25+'Exh D Debt Service'!C26+'Exh D Capital Projects'!C26</f>
        <v>53279</v>
      </c>
      <c r="D41" s="274"/>
      <c r="E41" s="297">
        <f>+'Exh D General Fund'!E27+'Exh D General Fund'!E28+'Exh D General Fund'!E29+'Exh D General Fund'!E30+'Exh D Special Revenue'!E25+'Exh D Debt Service'!E26+'Exh D Capital Projects'!E26</f>
        <v>55070</v>
      </c>
      <c r="F41" s="274"/>
      <c r="G41" s="297">
        <f>+'Exh D General Fund'!G27+'Exh D General Fund'!G28+'Exh D General Fund'!G29+'Exh D General Fund'!G30+'Exh D Special Revenue'!K25+'Exh D Debt Service'!G26+'Exh D Capital Projects'!K26</f>
        <v>55832.800000000003</v>
      </c>
      <c r="H41" s="274"/>
      <c r="I41" s="274">
        <f t="shared" si="4"/>
        <v>2553.8000000000029</v>
      </c>
      <c r="J41" s="274"/>
      <c r="K41" s="274">
        <f t="shared" si="5"/>
        <v>762.80000000000291</v>
      </c>
      <c r="M41" s="436"/>
    </row>
    <row r="42" spans="1:14">
      <c r="A42" s="360" t="s">
        <v>255</v>
      </c>
      <c r="B42" s="266" t="s">
        <v>103</v>
      </c>
      <c r="C42" s="392">
        <f>-(+'Exh D General Fund'!C38+'Exh D General Fund'!C39+'Exh D General Fund'!C40+'Exh D General Fund'!C41+'Exh D General Fund'!C42+'Exh D Special Revenue'!C34+'Exh D Debt Service'!C32+'Exh D Capital Projects'!C32)</f>
        <v>-53379</v>
      </c>
      <c r="D42" s="274"/>
      <c r="E42" s="392">
        <f>-(+'Exh D General Fund'!E38+'Exh D General Fund'!E39+'Exh D General Fund'!E40+'Exh D General Fund'!E41+'Exh D General Fund'!E42+'Exh D Special Revenue'!E34+'Exh D Debt Service'!E32+'Exh D Capital Projects'!E32)</f>
        <v>-55162</v>
      </c>
      <c r="F42" s="274"/>
      <c r="G42" s="392">
        <f>-(+'Exh D General Fund'!G38+'Exh D General Fund'!G39+'Exh D General Fund'!G40+'Exh D General Fund'!G41+'Exh D General Fund'!G42+'Exh D Special Revenue'!K34+'Exh D Debt Service'!G32+'Exh D Capital Projects'!K32)</f>
        <v>-55915.199999999997</v>
      </c>
      <c r="H42" s="274"/>
      <c r="I42" s="274">
        <f t="shared" si="4"/>
        <v>-2536.1999999999971</v>
      </c>
      <c r="J42" s="274"/>
      <c r="K42" s="274">
        <f t="shared" si="5"/>
        <v>-753.19999999999709</v>
      </c>
      <c r="M42" s="436"/>
    </row>
    <row r="43" spans="1:14">
      <c r="A43" s="1248" t="s">
        <v>256</v>
      </c>
      <c r="B43" s="266" t="s">
        <v>103</v>
      </c>
      <c r="C43" s="1011">
        <f>ROUND(+SUM(C40)+C41+C42,1)</f>
        <v>-100</v>
      </c>
      <c r="D43" s="274"/>
      <c r="E43" s="1011">
        <f>ROUND(+SUM(E40)+E41+E42,1)</f>
        <v>-92</v>
      </c>
      <c r="F43" s="274"/>
      <c r="G43" s="1011">
        <f>ROUND(+SUM(G40)+G41+G42,1)</f>
        <v>-82.4</v>
      </c>
      <c r="H43" s="274"/>
      <c r="I43" s="1024">
        <f>ROUND(SUM(I40+I41+I42),1)</f>
        <v>17.600000000000001</v>
      </c>
      <c r="J43" s="274"/>
      <c r="K43" s="1024">
        <f>ROUND(SUM(K40+K41+K42),1)</f>
        <v>9.6</v>
      </c>
      <c r="M43" s="436"/>
    </row>
    <row r="44" spans="1:14">
      <c r="A44" s="1248"/>
      <c r="B44" s="266"/>
      <c r="C44" s="297"/>
      <c r="D44" s="274"/>
      <c r="E44" s="297"/>
      <c r="F44" s="274"/>
      <c r="G44" s="297"/>
      <c r="H44" s="274"/>
      <c r="I44" s="297"/>
      <c r="J44" s="274"/>
      <c r="K44" s="297"/>
      <c r="M44" s="436"/>
    </row>
    <row r="45" spans="1:14">
      <c r="A45" s="3" t="s">
        <v>257</v>
      </c>
      <c r="B45" s="266"/>
      <c r="C45" s="274"/>
      <c r="D45" s="274"/>
      <c r="E45" s="274"/>
      <c r="F45" s="274"/>
      <c r="G45" s="274"/>
      <c r="H45" s="274"/>
      <c r="I45" s="274"/>
      <c r="J45" s="274"/>
      <c r="K45" s="274"/>
      <c r="M45" s="436"/>
    </row>
    <row r="46" spans="1:14" ht="15" customHeight="1">
      <c r="A46" s="3" t="s">
        <v>258</v>
      </c>
      <c r="B46" s="266"/>
      <c r="C46" s="274"/>
      <c r="D46" s="274"/>
      <c r="E46" s="274"/>
      <c r="F46" s="274"/>
      <c r="G46" s="274"/>
      <c r="H46" s="274"/>
      <c r="I46" s="274"/>
      <c r="J46" s="274"/>
      <c r="K46" s="274"/>
      <c r="M46" s="436"/>
    </row>
    <row r="47" spans="1:14">
      <c r="A47" s="1248" t="s">
        <v>259</v>
      </c>
      <c r="B47" s="42" t="s">
        <v>103</v>
      </c>
      <c r="C47" s="13">
        <f>ROUND(SUM(C26)-SUM(C34)+C43,1)</f>
        <v>1974</v>
      </c>
      <c r="D47" s="18"/>
      <c r="E47" s="13">
        <f>ROUND(SUM(E26)-SUM(E34)+E43,1)</f>
        <v>8439</v>
      </c>
      <c r="F47" s="18"/>
      <c r="G47" s="13">
        <f>ROUND(SUM(G26)-SUM(G34)+G43,1)</f>
        <v>11793.9</v>
      </c>
      <c r="H47" s="18"/>
      <c r="I47" s="13">
        <f>ROUND(SUM(I26)-SUM(I34)+I43,1)</f>
        <v>9819.9</v>
      </c>
      <c r="J47" s="18"/>
      <c r="K47" s="13">
        <f>ROUND(SUM(K26)-SUM(K34)+K43,1)</f>
        <v>3354.9</v>
      </c>
      <c r="M47" s="436"/>
    </row>
    <row r="48" spans="1:14">
      <c r="A48" s="301"/>
      <c r="B48" s="266"/>
      <c r="C48" s="274"/>
      <c r="D48" s="274"/>
      <c r="E48" s="274"/>
      <c r="F48" s="274"/>
      <c r="G48" s="274"/>
      <c r="H48" s="274"/>
      <c r="I48" s="13" t="s">
        <v>103</v>
      </c>
      <c r="J48" s="274"/>
      <c r="K48" s="13" t="s">
        <v>103</v>
      </c>
      <c r="M48" s="436"/>
    </row>
    <row r="49" spans="1:13">
      <c r="A49" s="1248" t="s">
        <v>260</v>
      </c>
      <c r="B49" s="395" t="s">
        <v>103</v>
      </c>
      <c r="C49" s="13">
        <f>'Exh D General Fund'!C49+'Exh D Special Revenue'!C41+'Exh D Debt Service'!C39+'Exh D Capital Projects'!C39</f>
        <v>65912</v>
      </c>
      <c r="D49" s="274"/>
      <c r="E49" s="13">
        <f>'Exh D General Fund'!E49+'Exh D Special Revenue'!E41+'Exh D Debt Service'!E39+'Exh D Capital Projects'!E39</f>
        <v>65912</v>
      </c>
      <c r="F49" s="274"/>
      <c r="G49" s="13">
        <f>'Exh D General Fund'!G49+'Exh D Special Revenue'!G41+'Exh D Debt Service'!G39+'Exh D Capital Projects'!G39</f>
        <v>65912.2</v>
      </c>
      <c r="H49" s="274"/>
      <c r="I49" s="13">
        <f>G49-C49</f>
        <v>0.19999999999708962</v>
      </c>
      <c r="J49" s="274"/>
      <c r="K49" s="13">
        <f t="shared" ref="K49" si="6">G49-E49</f>
        <v>0.19999999999708962</v>
      </c>
      <c r="M49" s="436"/>
    </row>
    <row r="50" spans="1:13" ht="16" thickBot="1">
      <c r="A50" s="1248" t="str">
        <f>"Fund Balances (Deficits) at "&amp;PROPER(_xlfn.TEXTAFTER('Exh D Governmental  '!A6," ",4))</f>
        <v>Fund Balances (Deficits) at February 28, 2025</v>
      </c>
      <c r="B50" s="43" t="s">
        <v>103</v>
      </c>
      <c r="C50" s="688">
        <f>ROUND(SUM(C47:C49),1)</f>
        <v>67886</v>
      </c>
      <c r="D50" s="44"/>
      <c r="E50" s="688">
        <f>ROUND(SUM(E47:E49),1)</f>
        <v>74351</v>
      </c>
      <c r="F50" s="44"/>
      <c r="G50" s="688">
        <f>ROUND(SUM(G47:G49),1)</f>
        <v>77706.100000000006</v>
      </c>
      <c r="H50" s="44"/>
      <c r="I50" s="688">
        <f>ROUND(SUM(I47:I49),1)</f>
        <v>9820.1</v>
      </c>
      <c r="J50" s="44"/>
      <c r="K50" s="688">
        <f>ROUND(SUM(K47:K49),1)</f>
        <v>3355.1</v>
      </c>
      <c r="M50" s="436"/>
    </row>
    <row r="51" spans="1:13" ht="16" thickTop="1">
      <c r="A51" s="301"/>
      <c r="B51" s="266"/>
      <c r="C51" s="266"/>
      <c r="D51" s="266"/>
      <c r="E51" s="266"/>
      <c r="F51" s="266"/>
      <c r="G51" s="266"/>
      <c r="H51" s="266"/>
      <c r="I51" s="266"/>
      <c r="J51" s="266"/>
      <c r="K51" s="266"/>
      <c r="M51" s="436"/>
    </row>
    <row r="52" spans="1:13">
      <c r="A52" s="396" t="s">
        <v>1483</v>
      </c>
      <c r="G52" s="436"/>
      <c r="K52" s="436"/>
      <c r="M52" s="436"/>
    </row>
    <row r="53" spans="1:13">
      <c r="A53" s="692" t="s">
        <v>1581</v>
      </c>
      <c r="E53" s="999"/>
      <c r="G53" s="999"/>
      <c r="I53" s="999"/>
      <c r="K53" s="999"/>
    </row>
    <row r="54" spans="1:13">
      <c r="A54" s="47"/>
      <c r="G54" s="12"/>
    </row>
    <row r="55" spans="1:13">
      <c r="A55" s="975"/>
      <c r="G55" s="436"/>
    </row>
    <row r="56" spans="1:13">
      <c r="A56" s="46"/>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69140625" defaultRowHeight="15.5"/>
  <cols>
    <col min="1" max="1" width="45.69140625" style="23" customWidth="1"/>
    <col min="2" max="2" width="2.4609375" style="23" customWidth="1"/>
    <col min="3" max="3" width="15.07421875" style="23" customWidth="1"/>
    <col min="4" max="4" width="1.69140625" style="23" customWidth="1"/>
    <col min="5" max="5" width="15.07421875" style="23" customWidth="1"/>
    <col min="6" max="6" width="1.69140625" style="23" customWidth="1"/>
    <col min="7" max="7" width="15.07421875" style="23" customWidth="1"/>
    <col min="8" max="8" width="3.69140625" style="23" bestFit="1" customWidth="1"/>
    <col min="9" max="9" width="15.07421875" style="23" customWidth="1"/>
    <col min="10" max="10" width="1.69140625" style="23" customWidth="1"/>
    <col min="11" max="11" width="15.07421875" style="23" customWidth="1"/>
    <col min="12" max="16384" width="8.69140625" style="23"/>
  </cols>
  <sheetData>
    <row r="1" spans="1:14">
      <c r="A1" s="388" t="s">
        <v>97</v>
      </c>
    </row>
    <row r="2" spans="1:14">
      <c r="A2" s="364"/>
    </row>
    <row r="3" spans="1:14" ht="18" customHeight="1">
      <c r="A3" s="28" t="s">
        <v>98</v>
      </c>
      <c r="B3" s="29"/>
      <c r="C3" s="29"/>
      <c r="D3" s="30"/>
      <c r="E3" s="29"/>
      <c r="F3" s="30"/>
      <c r="G3" s="30"/>
      <c r="H3" s="30"/>
      <c r="I3" s="30"/>
      <c r="J3" s="30"/>
      <c r="K3" s="31" t="s">
        <v>231</v>
      </c>
    </row>
    <row r="4" spans="1:14" ht="18" customHeight="1">
      <c r="A4" s="28" t="s">
        <v>232</v>
      </c>
      <c r="B4" s="29"/>
      <c r="C4" s="29"/>
      <c r="D4" s="30"/>
      <c r="E4" s="29"/>
      <c r="F4" s="30"/>
      <c r="G4" s="30"/>
      <c r="H4" s="30"/>
      <c r="I4" s="31"/>
      <c r="J4" s="30"/>
      <c r="K4" s="363"/>
    </row>
    <row r="5" spans="1:14" ht="18" customHeight="1">
      <c r="A5" s="2119" t="str">
        <f>'Exh D Governmental  '!A5</f>
        <v>FISCAL YEAR 2024-2025</v>
      </c>
      <c r="B5" s="2120"/>
      <c r="C5" s="2120"/>
      <c r="D5" s="2120"/>
      <c r="E5" s="2120"/>
      <c r="F5" s="30"/>
      <c r="G5" s="32"/>
      <c r="H5" s="30"/>
      <c r="I5" s="363"/>
      <c r="J5" s="30"/>
    </row>
    <row r="6" spans="1:14" ht="18" customHeight="1">
      <c r="A6" s="51" t="str">
        <f>'Exh D Governmental  '!A6</f>
        <v>FOR ELEVEN MONTHS ENDED FEBRUARY 28, 2025</v>
      </c>
      <c r="B6" s="30"/>
      <c r="C6" s="30"/>
      <c r="D6" s="30"/>
      <c r="E6" s="30"/>
      <c r="F6" s="30"/>
      <c r="G6" s="30"/>
      <c r="H6" s="30"/>
      <c r="I6" s="30"/>
      <c r="J6" s="30"/>
      <c r="K6" s="30"/>
    </row>
    <row r="7" spans="1:14" ht="18" customHeight="1">
      <c r="A7" s="51" t="s">
        <v>233</v>
      </c>
      <c r="B7" s="30"/>
      <c r="C7" s="30"/>
      <c r="D7" s="30"/>
      <c r="E7" s="30"/>
      <c r="F7" s="30"/>
      <c r="G7" s="30"/>
      <c r="H7" s="30"/>
      <c r="I7" s="30"/>
      <c r="J7" s="30"/>
      <c r="K7" s="30"/>
    </row>
    <row r="8" spans="1:14" ht="17.5">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c r="A11" s="301"/>
      <c r="B11" s="36"/>
      <c r="C11" s="2118" t="s">
        <v>1526</v>
      </c>
      <c r="D11" s="2118"/>
      <c r="E11" s="2118"/>
      <c r="F11" s="2118"/>
      <c r="G11" s="2118"/>
      <c r="H11" s="2118"/>
      <c r="I11" s="2118"/>
      <c r="J11" s="1031"/>
      <c r="K11" s="1255"/>
      <c r="N11"/>
    </row>
    <row r="12" spans="1:14">
      <c r="A12" s="301"/>
      <c r="B12" s="36"/>
      <c r="C12" s="36"/>
      <c r="D12" s="36"/>
      <c r="E12" s="36"/>
      <c r="F12" s="36"/>
      <c r="G12" s="36"/>
      <c r="H12" s="36"/>
      <c r="I12" s="37" t="s">
        <v>235</v>
      </c>
      <c r="J12" s="36"/>
      <c r="K12" s="37" t="s">
        <v>235</v>
      </c>
    </row>
    <row r="13" spans="1:14">
      <c r="A13" s="301"/>
      <c r="B13" s="36"/>
      <c r="C13" s="36"/>
      <c r="D13" s="36"/>
      <c r="E13" s="36"/>
      <c r="F13" s="36"/>
      <c r="G13" s="36"/>
      <c r="H13" s="36"/>
      <c r="I13" s="37" t="s">
        <v>236</v>
      </c>
      <c r="J13" s="36"/>
      <c r="K13" s="37" t="s">
        <v>236</v>
      </c>
    </row>
    <row r="14" spans="1:14">
      <c r="A14" s="301"/>
      <c r="B14" s="36"/>
      <c r="C14" s="38" t="s">
        <v>238</v>
      </c>
      <c r="D14" s="36"/>
      <c r="E14" s="37" t="s">
        <v>239</v>
      </c>
      <c r="F14" s="36"/>
      <c r="G14" s="36"/>
      <c r="H14" s="36"/>
      <c r="I14" s="37" t="s">
        <v>240</v>
      </c>
      <c r="J14" s="36"/>
      <c r="K14" s="37" t="s">
        <v>240</v>
      </c>
    </row>
    <row r="15" spans="1:14">
      <c r="A15" s="301"/>
      <c r="B15" s="36"/>
      <c r="C15" s="37" t="s">
        <v>241</v>
      </c>
      <c r="D15" s="36"/>
      <c r="E15" s="37" t="s">
        <v>241</v>
      </c>
      <c r="F15" s="36"/>
      <c r="G15" s="36"/>
      <c r="H15" s="36"/>
      <c r="I15" s="37" t="s">
        <v>238</v>
      </c>
      <c r="J15" s="36"/>
      <c r="K15" s="37" t="s">
        <v>239</v>
      </c>
    </row>
    <row r="16" spans="1:14">
      <c r="A16" s="301"/>
      <c r="B16" s="36"/>
      <c r="C16" s="37" t="s">
        <v>242</v>
      </c>
      <c r="D16" s="36"/>
      <c r="E16" s="37" t="s">
        <v>1522</v>
      </c>
      <c r="F16" s="36"/>
      <c r="G16" s="38" t="s">
        <v>235</v>
      </c>
      <c r="H16" s="36"/>
      <c r="I16" s="37" t="s">
        <v>243</v>
      </c>
      <c r="J16" s="36"/>
      <c r="K16" s="37" t="s">
        <v>243</v>
      </c>
    </row>
    <row r="17" spans="1:12">
      <c r="A17" s="39"/>
      <c r="B17" s="30"/>
      <c r="C17" s="1032"/>
      <c r="D17" s="30"/>
      <c r="E17" s="1032"/>
      <c r="F17" s="30"/>
      <c r="G17" s="1032"/>
      <c r="H17" s="30"/>
      <c r="I17" s="1032"/>
      <c r="J17" s="30"/>
      <c r="K17" s="1032"/>
    </row>
    <row r="18" spans="1:12">
      <c r="A18" s="3" t="s">
        <v>114</v>
      </c>
      <c r="B18" s="266"/>
      <c r="C18" s="266"/>
      <c r="D18" s="266"/>
      <c r="E18" s="266"/>
      <c r="F18" s="266"/>
      <c r="G18" s="266"/>
      <c r="H18" s="266"/>
      <c r="I18" s="266"/>
      <c r="J18" s="266"/>
      <c r="K18" s="266"/>
    </row>
    <row r="19" spans="1:12" ht="15" customHeight="1">
      <c r="A19" s="360" t="s">
        <v>244</v>
      </c>
      <c r="B19" s="389" t="s">
        <v>103</v>
      </c>
      <c r="C19" s="694"/>
      <c r="D19" s="389"/>
      <c r="E19" s="694"/>
      <c r="F19" s="389"/>
      <c r="G19" s="390"/>
      <c r="H19" s="389"/>
      <c r="I19" s="390"/>
      <c r="J19" s="389"/>
      <c r="K19" s="390"/>
    </row>
    <row r="20" spans="1:12">
      <c r="A20" s="360" t="s">
        <v>245</v>
      </c>
      <c r="B20" s="389" t="s">
        <v>103</v>
      </c>
      <c r="C20" s="284">
        <f>'Exh D General Fund'!C20+'Exh D Special Revenue State Fed'!C20+'Exh D Debt Service'!C20</f>
        <v>52001</v>
      </c>
      <c r="D20" s="286"/>
      <c r="E20" s="284">
        <f>'Exh D General Fund'!E20+'Exh D Special Revenue State Fed'!E20+'Exh D Debt Service'!E20</f>
        <v>56044</v>
      </c>
      <c r="F20" s="286"/>
      <c r="G20" s="284">
        <f>+'Exh A Supp'!T15</f>
        <v>56071.4</v>
      </c>
      <c r="H20" s="286"/>
      <c r="I20" s="284">
        <f>G20-C20</f>
        <v>4070.4000000000015</v>
      </c>
      <c r="J20" s="286"/>
      <c r="K20" s="284">
        <f>G20-E20</f>
        <v>27.400000000001455</v>
      </c>
    </row>
    <row r="21" spans="1:12">
      <c r="A21" s="360" t="s">
        <v>246</v>
      </c>
      <c r="B21" s="266" t="s">
        <v>103</v>
      </c>
      <c r="C21" s="274">
        <f>'Exh D General Fund'!C21+'Exh D Special Revenue State Fed'!C21+'Exh D Debt Service'!C21</f>
        <v>19835</v>
      </c>
      <c r="D21" s="274"/>
      <c r="E21" s="274">
        <f>'Exh D General Fund'!E21+'Exh D Special Revenue State Fed'!E21+'Exh D Debt Service'!E21</f>
        <v>19894</v>
      </c>
      <c r="F21" s="274"/>
      <c r="G21" s="274">
        <f>+'Exh A Supp'!T16</f>
        <v>19903</v>
      </c>
      <c r="H21" s="274"/>
      <c r="I21" s="274">
        <f>G21-C21</f>
        <v>68</v>
      </c>
      <c r="J21" s="274"/>
      <c r="K21" s="274">
        <f t="shared" ref="K21:K25" si="0">G21-E21</f>
        <v>9</v>
      </c>
    </row>
    <row r="22" spans="1:12" ht="15" customHeight="1">
      <c r="A22" s="360" t="s">
        <v>247</v>
      </c>
      <c r="B22" s="389" t="s">
        <v>103</v>
      </c>
      <c r="C22" s="274">
        <f>'Exh D General Fund'!C22+'Exh D Special Revenue State Fed'!C22+'Exh D Debt Service'!C22</f>
        <v>19980</v>
      </c>
      <c r="D22" s="297"/>
      <c r="E22" s="274">
        <f>'Exh D General Fund'!E22+'Exh D Special Revenue State Fed'!E22+'Exh D Debt Service'!E22</f>
        <v>20501</v>
      </c>
      <c r="F22" s="297"/>
      <c r="G22" s="274">
        <f>+'Exh A Supp'!T17</f>
        <v>20812.2</v>
      </c>
      <c r="H22" s="297"/>
      <c r="I22" s="274">
        <f t="shared" ref="I22:I25" si="1">G22-C22</f>
        <v>832.20000000000073</v>
      </c>
      <c r="J22" s="297"/>
      <c r="K22" s="274">
        <f t="shared" si="0"/>
        <v>311.20000000000073</v>
      </c>
    </row>
    <row r="23" spans="1:12" ht="14.25" customHeight="1">
      <c r="A23" s="360" t="s">
        <v>248</v>
      </c>
      <c r="B23" s="266" t="s">
        <v>103</v>
      </c>
      <c r="C23" s="274">
        <f>'Exh D General Fund'!C23+'Exh D Debt Service'!C23</f>
        <v>2142</v>
      </c>
      <c r="D23" s="274"/>
      <c r="E23" s="274">
        <f>'Exh D General Fund'!E23+'Exh D Debt Service'!E23</f>
        <v>2189</v>
      </c>
      <c r="F23" s="274"/>
      <c r="G23" s="274">
        <f>+'Exh A Supp'!T18</f>
        <v>2169.5</v>
      </c>
      <c r="H23" s="274"/>
      <c r="I23" s="274">
        <f t="shared" si="1"/>
        <v>27.5</v>
      </c>
      <c r="J23" s="274"/>
      <c r="K23" s="274">
        <f t="shared" si="0"/>
        <v>-19.5</v>
      </c>
    </row>
    <row r="24" spans="1:12">
      <c r="A24" s="360" t="s">
        <v>119</v>
      </c>
      <c r="B24" s="266" t="s">
        <v>103</v>
      </c>
      <c r="C24" s="274">
        <f>'Exh D General Fund'!C24+'Exh D Special Revenue State Fed'!C23+'Exh D Debt Service'!C24</f>
        <v>22528</v>
      </c>
      <c r="D24" s="274"/>
      <c r="E24" s="274">
        <f>'Exh D General Fund'!E24+'Exh D Special Revenue State Fed'!E23+'Exh D Debt Service'!E24</f>
        <v>24287</v>
      </c>
      <c r="F24" s="274"/>
      <c r="G24" s="274">
        <f>+'Exh A Supp'!T19</f>
        <v>25641.3</v>
      </c>
      <c r="H24" s="274"/>
      <c r="I24" s="274">
        <f t="shared" si="1"/>
        <v>3113.2999999999993</v>
      </c>
      <c r="J24" s="274"/>
      <c r="K24" s="274">
        <f t="shared" si="0"/>
        <v>1354.2999999999993</v>
      </c>
    </row>
    <row r="25" spans="1:12" ht="15" customHeight="1">
      <c r="A25" s="360" t="s">
        <v>120</v>
      </c>
      <c r="B25" s="266" t="s">
        <v>103</v>
      </c>
      <c r="C25" s="298">
        <f>'Exh D General Fund'!C25+'Exh D Special Revenue State Fed'!C24+'Exh D Debt Service'!C25</f>
        <v>100</v>
      </c>
      <c r="D25" s="274"/>
      <c r="E25" s="298">
        <f>'Exh D General Fund'!E25+'Exh D Special Revenue State Fed'!E24+'Exh D Debt Service'!E25</f>
        <v>3681</v>
      </c>
      <c r="F25" s="274"/>
      <c r="G25" s="274">
        <f>+'Exh A Supp'!T20</f>
        <v>3681.5</v>
      </c>
      <c r="H25" s="274"/>
      <c r="I25" s="274">
        <f t="shared" si="1"/>
        <v>3581.5</v>
      </c>
      <c r="J25" s="274"/>
      <c r="K25" s="274">
        <f t="shared" si="0"/>
        <v>0.5</v>
      </c>
    </row>
    <row r="26" spans="1:12">
      <c r="A26" s="1248" t="s">
        <v>249</v>
      </c>
      <c r="B26" s="36" t="s">
        <v>103</v>
      </c>
      <c r="C26" s="631">
        <f>ROUND(SUM(C20:C25),1)</f>
        <v>116586</v>
      </c>
      <c r="D26" s="13"/>
      <c r="E26" s="631">
        <f>ROUND(SUM(E20:E25),1)</f>
        <v>126596</v>
      </c>
      <c r="F26" s="13"/>
      <c r="G26" s="631">
        <f>ROUND(SUM(G20:G25),1)</f>
        <v>128278.9</v>
      </c>
      <c r="H26" s="13"/>
      <c r="I26" s="631">
        <f>ROUND(SUM(I20:I25),1)</f>
        <v>11692.9</v>
      </c>
      <c r="J26" s="13"/>
      <c r="K26" s="631">
        <f>ROUND(SUM(K20:K25),1)</f>
        <v>1682.9</v>
      </c>
      <c r="L26" s="12"/>
    </row>
    <row r="27" spans="1:12">
      <c r="A27" s="301"/>
      <c r="B27" s="266" t="s">
        <v>103</v>
      </c>
      <c r="C27" s="629"/>
      <c r="D27" s="274"/>
      <c r="E27" s="629"/>
      <c r="F27" s="274"/>
      <c r="G27" s="629"/>
      <c r="H27" s="274"/>
      <c r="I27" s="629"/>
      <c r="J27" s="274"/>
      <c r="K27" s="629"/>
    </row>
    <row r="28" spans="1:12">
      <c r="A28" s="3" t="s">
        <v>122</v>
      </c>
      <c r="B28" s="266" t="s">
        <v>103</v>
      </c>
      <c r="C28" s="274"/>
      <c r="D28" s="274"/>
      <c r="E28" s="274"/>
      <c r="F28" s="274"/>
      <c r="G28" s="274"/>
      <c r="H28" s="274"/>
      <c r="I28" s="274"/>
      <c r="J28" s="274"/>
      <c r="K28" s="274"/>
    </row>
    <row r="29" spans="1:12">
      <c r="A29" s="360" t="s">
        <v>250</v>
      </c>
      <c r="B29" s="266" t="s">
        <v>103</v>
      </c>
      <c r="C29" s="298">
        <f>'Exh D General Fund'!C34+'Exh D Special Revenue State Fed'!C29</f>
        <v>81069</v>
      </c>
      <c r="D29" s="274"/>
      <c r="E29" s="298">
        <f>'Exh D General Fund'!E34+'Exh D Special Revenue State Fed'!E29</f>
        <v>80719</v>
      </c>
      <c r="F29" s="274"/>
      <c r="G29" s="298">
        <f>+'Exh A Supp'!T35</f>
        <v>79820.899999999994</v>
      </c>
      <c r="H29" s="274"/>
      <c r="I29" s="274">
        <f t="shared" ref="I29:I33" si="2">G29-C29</f>
        <v>-1248.1000000000058</v>
      </c>
      <c r="J29" s="274"/>
      <c r="K29" s="274">
        <f t="shared" ref="K29:K33" si="3">G29-E29</f>
        <v>-898.10000000000582</v>
      </c>
      <c r="L29" s="12"/>
    </row>
    <row r="30" spans="1:12">
      <c r="A30" s="360" t="s">
        <v>251</v>
      </c>
      <c r="B30" s="266" t="s">
        <v>103</v>
      </c>
      <c r="C30" s="297">
        <f>'Exh D General Fund'!C35+'Exh D Special Revenue State Fed'!C30+'Exh D Debt Service'!C30</f>
        <v>21078</v>
      </c>
      <c r="D30" s="274"/>
      <c r="E30" s="297">
        <f>'Exh D General Fund'!E35+'Exh D Special Revenue State Fed'!E30+'Exh D Debt Service'!E30</f>
        <v>21301</v>
      </c>
      <c r="F30" s="274"/>
      <c r="G30" s="297">
        <f>+'Exh A Supp'!T37+'Exh A Supp'!T38</f>
        <v>21482.799999999999</v>
      </c>
      <c r="H30" s="274"/>
      <c r="I30" s="274">
        <f t="shared" si="2"/>
        <v>404.79999999999927</v>
      </c>
      <c r="J30" s="274"/>
      <c r="K30" s="274">
        <f t="shared" si="3"/>
        <v>181.79999999999927</v>
      </c>
      <c r="L30" s="12"/>
    </row>
    <row r="31" spans="1:12">
      <c r="A31" s="360" t="s">
        <v>216</v>
      </c>
      <c r="B31" s="266" t="s">
        <v>103</v>
      </c>
      <c r="C31" s="298">
        <f>'Exh D General Fund'!C36+'Exh D Special Revenue State Fed'!C31</f>
        <v>7753</v>
      </c>
      <c r="D31" s="274"/>
      <c r="E31" s="298">
        <f>'Exh D General Fund'!E36+'Exh D Special Revenue State Fed'!E31</f>
        <v>7684</v>
      </c>
      <c r="F31" s="274"/>
      <c r="G31" s="298">
        <f>+'Exh A Supp'!T39</f>
        <v>9057.2999999999993</v>
      </c>
      <c r="H31" s="274"/>
      <c r="I31" s="274">
        <f t="shared" si="2"/>
        <v>1304.2999999999993</v>
      </c>
      <c r="J31" s="274"/>
      <c r="K31" s="274">
        <f t="shared" si="3"/>
        <v>1373.2999999999993</v>
      </c>
      <c r="L31" s="12"/>
    </row>
    <row r="32" spans="1:12">
      <c r="A32" s="360" t="s">
        <v>252</v>
      </c>
      <c r="B32" s="266" t="s">
        <v>103</v>
      </c>
      <c r="C32" s="297">
        <f>'Exh D Debt Service'!C31</f>
        <v>767</v>
      </c>
      <c r="D32" s="274"/>
      <c r="E32" s="297">
        <f>'Exh D Debt Service'!E31</f>
        <v>588</v>
      </c>
      <c r="F32" s="274"/>
      <c r="G32" s="298">
        <f>+'Exh A Supp'!T41</f>
        <v>481.8</v>
      </c>
      <c r="H32" s="274"/>
      <c r="I32" s="274">
        <f t="shared" si="2"/>
        <v>-285.2</v>
      </c>
      <c r="J32" s="274"/>
      <c r="K32" s="274">
        <f t="shared" si="3"/>
        <v>-106.19999999999999</v>
      </c>
      <c r="L32" s="12"/>
    </row>
    <row r="33" spans="1:12">
      <c r="A33" s="360" t="s">
        <v>140</v>
      </c>
      <c r="B33" s="266"/>
      <c r="C33" s="297">
        <f>'Exh D Special Revenue State Fed'!C33</f>
        <v>0</v>
      </c>
      <c r="D33" s="274"/>
      <c r="E33" s="297">
        <f>'Exh D Special Revenue State Fed'!E33</f>
        <v>0</v>
      </c>
      <c r="F33" s="274"/>
      <c r="G33" s="298">
        <f>'Exh D Special Revenue State Fed'!G33</f>
        <v>0</v>
      </c>
      <c r="H33" s="274"/>
      <c r="I33" s="274">
        <f t="shared" si="2"/>
        <v>0</v>
      </c>
      <c r="J33" s="274"/>
      <c r="K33" s="274">
        <f t="shared" si="3"/>
        <v>0</v>
      </c>
      <c r="L33" s="12"/>
    </row>
    <row r="34" spans="1:12" ht="15.75" customHeight="1">
      <c r="A34" s="1248" t="s">
        <v>253</v>
      </c>
      <c r="B34" s="36" t="s">
        <v>103</v>
      </c>
      <c r="C34" s="630">
        <f>ROUND(SUM(C29:C33),1)</f>
        <v>110667</v>
      </c>
      <c r="D34" s="13"/>
      <c r="E34" s="630">
        <f>ROUND(SUM(E29:E33),1)</f>
        <v>110292</v>
      </c>
      <c r="F34" s="13"/>
      <c r="G34" s="630">
        <f>ROUND(SUM(G29:G33),1)</f>
        <v>110842.8</v>
      </c>
      <c r="H34" s="13"/>
      <c r="I34" s="630">
        <f>ROUND(SUM(I29:I33),1)</f>
        <v>175.8</v>
      </c>
      <c r="J34" s="13"/>
      <c r="K34" s="630">
        <f>ROUND(SUM(K29:K33),1)</f>
        <v>550.79999999999995</v>
      </c>
      <c r="L34" s="12"/>
    </row>
    <row r="35" spans="1:12">
      <c r="A35" s="301"/>
      <c r="B35" s="266"/>
      <c r="C35" s="274"/>
      <c r="D35" s="274"/>
      <c r="E35" s="274"/>
      <c r="F35" s="274"/>
      <c r="G35" s="274"/>
      <c r="H35" s="274"/>
      <c r="I35" s="274"/>
      <c r="J35" s="274"/>
      <c r="K35" s="274"/>
      <c r="L35" s="12"/>
    </row>
    <row r="36" spans="1:12">
      <c r="A36" s="1248" t="s">
        <v>143</v>
      </c>
      <c r="B36" s="266"/>
      <c r="C36" s="274"/>
      <c r="D36" s="274"/>
      <c r="E36" s="274"/>
      <c r="F36" s="274"/>
      <c r="G36" s="274"/>
      <c r="H36" s="274"/>
      <c r="I36" s="274"/>
      <c r="J36" s="274"/>
      <c r="K36" s="274"/>
      <c r="L36" s="12"/>
    </row>
    <row r="37" spans="1:12">
      <c r="A37" s="1248" t="s">
        <v>144</v>
      </c>
      <c r="B37" s="266" t="s">
        <v>103</v>
      </c>
      <c r="C37" s="367">
        <f>ROUND(SUM(+C26-C34),1)</f>
        <v>5919</v>
      </c>
      <c r="D37" s="274"/>
      <c r="E37" s="367">
        <f>ROUND(SUM(+E26-E34),1)</f>
        <v>16304</v>
      </c>
      <c r="F37" s="274"/>
      <c r="G37" s="367">
        <f>ROUND(SUM(+G26-G34),1)</f>
        <v>17436.099999999999</v>
      </c>
      <c r="H37" s="274"/>
      <c r="I37" s="367">
        <f>ROUND(SUM(+I26-I34),1)</f>
        <v>11517.1</v>
      </c>
      <c r="J37" s="274"/>
      <c r="K37" s="367">
        <f>ROUND(SUM(+K26-K34),1)</f>
        <v>1132.0999999999999</v>
      </c>
      <c r="L37" s="12"/>
    </row>
    <row r="38" spans="1:12">
      <c r="A38" s="301"/>
      <c r="B38" s="266"/>
      <c r="C38" s="274"/>
      <c r="D38" s="274"/>
      <c r="E38" s="274"/>
      <c r="F38" s="274"/>
      <c r="G38" s="274"/>
      <c r="H38" s="274"/>
      <c r="I38" s="274"/>
      <c r="J38" s="274"/>
      <c r="K38" s="274"/>
      <c r="L38" s="12"/>
    </row>
    <row r="39" spans="1:12">
      <c r="A39" s="1248" t="s">
        <v>145</v>
      </c>
      <c r="B39" s="266"/>
      <c r="C39" s="274"/>
      <c r="D39" s="274"/>
      <c r="E39" s="274"/>
      <c r="F39" s="274"/>
      <c r="G39" s="274"/>
      <c r="H39" s="274"/>
      <c r="I39" s="274"/>
      <c r="J39" s="274"/>
      <c r="K39" s="274"/>
      <c r="L39" s="12"/>
    </row>
    <row r="40" spans="1:12">
      <c r="A40" s="360" t="s">
        <v>147</v>
      </c>
      <c r="B40" s="266" t="s">
        <v>103</v>
      </c>
      <c r="C40" s="297">
        <f>'Exh D General Fund'!C27+'Exh D General Fund'!C28+'Exh D General Fund'!C29+'Exh D General Fund'!C30+'Exh D Special Revenue State Fed'!C25+'Exh D Debt Service'!C26</f>
        <v>45633</v>
      </c>
      <c r="D40" s="274"/>
      <c r="E40" s="297">
        <f>'Exh D General Fund'!E27+'Exh D General Fund'!E28+'Exh D General Fund'!E29+'Exh D General Fund'!E30+'Exh D Special Revenue State Fed'!E25+'Exh D Debt Service'!E26</f>
        <v>47915</v>
      </c>
      <c r="F40" s="274"/>
      <c r="G40" s="297">
        <f>+'Exh A Supp'!T49</f>
        <v>49946.8</v>
      </c>
      <c r="H40" s="59" t="s">
        <v>1525</v>
      </c>
      <c r="I40" s="274">
        <f t="shared" ref="I40:I41" si="4">G40-C40</f>
        <v>4313.8000000000029</v>
      </c>
      <c r="J40" s="274"/>
      <c r="K40" s="274">
        <f t="shared" ref="K40:K41" si="5">G40-E40</f>
        <v>2031.8000000000029</v>
      </c>
      <c r="L40" s="12"/>
    </row>
    <row r="41" spans="1:12">
      <c r="A41" s="360" t="s">
        <v>255</v>
      </c>
      <c r="B41" s="266" t="s">
        <v>103</v>
      </c>
      <c r="C41" s="392">
        <f>-('Exh D General Fund'!C38+'Exh D General Fund'!C39+'Exh D General Fund'!C40+'Exh D General Fund'!C41+'Exh D General Fund'!C42+'Exh D Special Revenue State Fed'!C34+'Exh D Debt Service'!C32)</f>
        <v>-51021</v>
      </c>
      <c r="D41" s="274"/>
      <c r="E41" s="392">
        <f>-('Exh D General Fund'!E38+'Exh D General Fund'!E39+'Exh D General Fund'!E40+'Exh D General Fund'!E41+'Exh D General Fund'!E42+'Exh D Special Revenue State Fed'!E34+'Exh D Debt Service'!E32)</f>
        <v>-52941</v>
      </c>
      <c r="F41" s="274"/>
      <c r="G41" s="297">
        <f>+'Exh A Supp'!T50</f>
        <v>-52946.9</v>
      </c>
      <c r="H41" s="59" t="s">
        <v>1525</v>
      </c>
      <c r="I41" s="274">
        <f t="shared" si="4"/>
        <v>-1925.9000000000015</v>
      </c>
      <c r="J41" s="274"/>
      <c r="K41" s="274">
        <f t="shared" si="5"/>
        <v>-5.9000000000014552</v>
      </c>
      <c r="L41" s="12"/>
    </row>
    <row r="42" spans="1:12">
      <c r="A42" s="1248" t="s">
        <v>256</v>
      </c>
      <c r="B42" s="266" t="s">
        <v>103</v>
      </c>
      <c r="C42" s="630">
        <f>ROUND(SUM(C40:C41),1)</f>
        <v>-5388</v>
      </c>
      <c r="D42" s="274"/>
      <c r="E42" s="630">
        <f>ROUND(SUM(E40:E41),1)</f>
        <v>-5026</v>
      </c>
      <c r="F42" s="274"/>
      <c r="G42" s="630">
        <f>ROUND(SUM(G40:G41),1)</f>
        <v>-3000.1</v>
      </c>
      <c r="H42" s="274"/>
      <c r="I42" s="630">
        <f>ROUND(SUM(I40+I41),1)</f>
        <v>2387.9</v>
      </c>
      <c r="J42" s="274"/>
      <c r="K42" s="630">
        <f>ROUND(SUM(K40+K41),1)</f>
        <v>2025.9</v>
      </c>
      <c r="L42" s="12"/>
    </row>
    <row r="43" spans="1:12">
      <c r="A43" s="1248"/>
      <c r="B43" s="266"/>
      <c r="C43" s="297"/>
      <c r="D43" s="274"/>
      <c r="E43" s="297"/>
      <c r="F43" s="274"/>
      <c r="G43" s="297"/>
      <c r="H43" s="274"/>
      <c r="I43" s="297"/>
      <c r="J43" s="274"/>
      <c r="K43" s="297"/>
      <c r="L43" s="12"/>
    </row>
    <row r="44" spans="1:12">
      <c r="A44" s="3" t="s">
        <v>257</v>
      </c>
      <c r="B44" s="266"/>
      <c r="C44" s="274"/>
      <c r="D44" s="274"/>
      <c r="E44" s="274"/>
      <c r="F44" s="274"/>
      <c r="G44" s="274"/>
      <c r="H44" s="274"/>
      <c r="I44" s="274"/>
      <c r="J44" s="274"/>
      <c r="K44" s="274"/>
      <c r="L44" s="12"/>
    </row>
    <row r="45" spans="1:12" ht="15" customHeight="1">
      <c r="A45" s="3" t="s">
        <v>258</v>
      </c>
      <c r="B45" s="266"/>
      <c r="C45" s="274"/>
      <c r="D45" s="274"/>
      <c r="E45" s="274"/>
      <c r="F45" s="274"/>
      <c r="G45" s="274"/>
      <c r="H45" s="274"/>
      <c r="I45" s="274"/>
      <c r="J45" s="274"/>
      <c r="K45" s="274"/>
      <c r="L45" s="12"/>
    </row>
    <row r="46" spans="1:12">
      <c r="A46" s="1248" t="s">
        <v>259</v>
      </c>
      <c r="B46" s="42" t="s">
        <v>103</v>
      </c>
      <c r="C46" s="13">
        <f>ROUND(SUM(C26)-SUM(C34)+C42,1)</f>
        <v>531</v>
      </c>
      <c r="D46" s="18"/>
      <c r="E46" s="13">
        <f>ROUND(SUM(E26)-SUM(E34)+E42,1)</f>
        <v>11278</v>
      </c>
      <c r="F46" s="18"/>
      <c r="G46" s="13">
        <f>ROUND(SUM(G26)-SUM(G34)+G42,1)</f>
        <v>14436</v>
      </c>
      <c r="H46" s="18"/>
      <c r="I46" s="13">
        <f>ROUND(SUM(I26)-SUM(I34)+I42,1)</f>
        <v>13905</v>
      </c>
      <c r="J46" s="18"/>
      <c r="K46" s="13">
        <f>ROUND(SUM(K26)-SUM(K34)+K42,1)</f>
        <v>3158</v>
      </c>
      <c r="L46" s="12"/>
    </row>
    <row r="47" spans="1:12">
      <c r="A47" s="301"/>
      <c r="B47" s="266"/>
      <c r="C47" s="274"/>
      <c r="D47" s="274"/>
      <c r="E47" s="274" t="s">
        <v>103</v>
      </c>
      <c r="F47" s="274"/>
      <c r="G47" s="274"/>
      <c r="H47" s="274"/>
      <c r="I47" s="274"/>
      <c r="J47" s="274"/>
      <c r="K47" s="274"/>
      <c r="L47" s="12"/>
    </row>
    <row r="48" spans="1:12">
      <c r="A48" s="1248" t="str">
        <f>'Exh D Governmental  '!A49</f>
        <v>Fund Balances (Deficits) at April 1</v>
      </c>
      <c r="B48" s="395" t="s">
        <v>103</v>
      </c>
      <c r="C48" s="13">
        <f>'Exh D General Fund'!C49+'Exh D Special Revenue State Fed'!C41+'Exh D Debt Service'!C39</f>
        <v>56077</v>
      </c>
      <c r="D48" s="274"/>
      <c r="E48" s="13">
        <f>'Exh D General Fund'!E49+'Exh D Special Revenue State Fed'!E41+'Exh D Debt Service'!E39</f>
        <v>56077</v>
      </c>
      <c r="F48" s="274"/>
      <c r="G48" s="13">
        <f>'Exh A Supp'!T57</f>
        <v>56077.3</v>
      </c>
      <c r="H48" s="274"/>
      <c r="I48" s="13">
        <f>G48-C48</f>
        <v>0.30000000000291038</v>
      </c>
      <c r="J48" s="274"/>
      <c r="K48" s="13">
        <f t="shared" ref="K48" si="6">G48-E48</f>
        <v>0.30000000000291038</v>
      </c>
      <c r="L48" s="12"/>
    </row>
    <row r="49" spans="1:12" ht="16" thickBot="1">
      <c r="A49" s="1248" t="str">
        <f>'Exh D Governmental  '!A50</f>
        <v>Fund Balances (Deficits) at February 28, 2025</v>
      </c>
      <c r="B49" s="43" t="s">
        <v>103</v>
      </c>
      <c r="C49" s="688">
        <f>ROUND(SUM(C46:C48),1)</f>
        <v>56608</v>
      </c>
      <c r="D49" s="44"/>
      <c r="E49" s="688">
        <f>ROUND(SUM(E46:E48),1)</f>
        <v>67355</v>
      </c>
      <c r="F49" s="44"/>
      <c r="G49" s="688">
        <f>ROUND(SUM(G46:G48),1)</f>
        <v>70513.3</v>
      </c>
      <c r="H49" s="44"/>
      <c r="I49" s="688">
        <f>ROUND(SUM(I46:I48),1)</f>
        <v>13905.3</v>
      </c>
      <c r="J49" s="44"/>
      <c r="K49" s="688">
        <f>ROUND(SUM(K46:K48),1)</f>
        <v>3158.3</v>
      </c>
      <c r="L49" s="12"/>
    </row>
    <row r="50" spans="1:12" ht="16" thickTop="1">
      <c r="A50" s="301"/>
      <c r="B50" s="266"/>
      <c r="C50" s="266"/>
      <c r="D50" s="266"/>
      <c r="E50" s="266"/>
      <c r="F50" s="266"/>
      <c r="G50" s="266"/>
      <c r="H50" s="266"/>
      <c r="I50" s="266"/>
      <c r="J50" s="266"/>
      <c r="K50" s="266"/>
    </row>
    <row r="51" spans="1:12">
      <c r="A51" s="396" t="str">
        <f>'Exh D Governmental  '!A52</f>
        <v xml:space="preserve">(*)    Source: 2024-25 Enacted Budget dated May 24, 2024.  </v>
      </c>
      <c r="G51" s="284"/>
      <c r="I51" s="436"/>
      <c r="K51" s="436"/>
    </row>
    <row r="52" spans="1:12">
      <c r="A52" s="396" t="str">
        <f>'Exh D Governmental  '!A53</f>
        <v>(**)   Source: 2025-26 Executive Budget with 30-day amendments dated February 20, 2025, which made no changes to the Executive Budget Financial Plan.</v>
      </c>
      <c r="G52" s="284"/>
      <c r="I52" s="436"/>
      <c r="K52" s="436"/>
    </row>
    <row r="53" spans="1:12">
      <c r="A53" s="294" t="s">
        <v>1523</v>
      </c>
      <c r="G53" s="284"/>
      <c r="I53" s="436"/>
      <c r="K53" s="436"/>
    </row>
    <row r="54" spans="1:12">
      <c r="A54" s="294" t="s">
        <v>1481</v>
      </c>
      <c r="G54" s="436"/>
      <c r="I54" s="436"/>
      <c r="K54" s="436"/>
    </row>
    <row r="55" spans="1:12">
      <c r="A55" s="711" t="s">
        <v>1524</v>
      </c>
      <c r="I55" s="436"/>
      <c r="K55" s="436"/>
    </row>
    <row r="57" spans="1:12">
      <c r="G57" s="436"/>
    </row>
  </sheetData>
  <mergeCells count="2">
    <mergeCell ref="A5:E5"/>
    <mergeCell ref="C11:I11"/>
  </mergeCells>
  <printOptions horizontalCentered="1"/>
  <pageMargins left="0.7" right="0.7" top="0.75" bottom="1" header="0.5" footer="0.25"/>
  <pageSetup scale="55" firstPageNumber="9"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workbookViewId="0"/>
  </sheetViews>
  <sheetFormatPr defaultColWidth="8.69140625" defaultRowHeight="15.5"/>
  <cols>
    <col min="1" max="1" width="59" style="301" customWidth="1"/>
    <col min="2" max="2" width="2" style="266" customWidth="1"/>
    <col min="3" max="3" width="15.07421875" style="133" customWidth="1"/>
    <col min="4" max="4" width="1.69140625" style="266" customWidth="1"/>
    <col min="5" max="5" width="15.07421875" style="133" customWidth="1"/>
    <col min="6" max="6" width="2.69140625" style="266" customWidth="1"/>
    <col min="7" max="7" width="15.07421875" style="266" customWidth="1"/>
    <col min="8" max="8" width="4.07421875" style="360" bestFit="1" customWidth="1"/>
    <col min="9" max="9" width="15.07421875" style="266" customWidth="1"/>
    <col min="10" max="10" width="2.07421875" style="266" customWidth="1"/>
    <col min="11" max="11" width="12.69140625" style="266" customWidth="1"/>
    <col min="12" max="12" width="18.07421875" style="133" bestFit="1" customWidth="1"/>
    <col min="13" max="13" width="8.69140625" style="301"/>
    <col min="14" max="15" width="10.07421875" style="301" bestFit="1" customWidth="1"/>
    <col min="16" max="16384" width="8.69140625" style="301"/>
  </cols>
  <sheetData>
    <row r="1" spans="1:12">
      <c r="A1" s="397" t="s">
        <v>97</v>
      </c>
      <c r="B1" s="49"/>
      <c r="C1" s="129"/>
      <c r="D1" s="49"/>
      <c r="E1" s="129"/>
      <c r="F1" s="49"/>
      <c r="G1" s="49"/>
      <c r="H1" s="1377"/>
      <c r="I1" s="49"/>
      <c r="J1" s="49"/>
      <c r="K1" s="49"/>
      <c r="L1" s="129"/>
    </row>
    <row r="2" spans="1:12" ht="17.25" customHeight="1">
      <c r="A2" s="50"/>
      <c r="B2" s="49"/>
      <c r="C2" s="129"/>
      <c r="D2" s="49"/>
      <c r="E2" s="129"/>
      <c r="F2" s="49"/>
      <c r="G2" s="49"/>
      <c r="H2" s="1377"/>
      <c r="I2" s="49"/>
      <c r="J2" s="49"/>
      <c r="K2" s="49"/>
      <c r="L2" s="129"/>
    </row>
    <row r="3" spans="1:12" ht="18.75" customHeight="1">
      <c r="A3" s="51" t="s">
        <v>98</v>
      </c>
      <c r="B3" s="30"/>
      <c r="C3" s="130"/>
      <c r="D3" s="30"/>
      <c r="E3" s="130"/>
      <c r="F3" s="30"/>
      <c r="G3" s="30"/>
      <c r="H3" s="1378"/>
      <c r="I3" s="362"/>
      <c r="K3" s="362" t="s">
        <v>231</v>
      </c>
      <c r="L3" s="130"/>
    </row>
    <row r="4" spans="1:12" ht="18.75" customHeight="1">
      <c r="A4" s="51" t="s">
        <v>232</v>
      </c>
      <c r="B4" s="30"/>
      <c r="C4" s="130"/>
      <c r="D4" s="30"/>
      <c r="E4" s="130"/>
      <c r="F4" s="30"/>
      <c r="G4" s="30"/>
      <c r="H4" s="1378"/>
      <c r="I4" s="363"/>
      <c r="K4" s="363"/>
      <c r="L4" s="130"/>
    </row>
    <row r="5" spans="1:12" ht="18.75" customHeight="1">
      <c r="A5" s="2121" t="str">
        <f>'Exh D Governmental  '!A5</f>
        <v>FISCAL YEAR 2024-2025</v>
      </c>
      <c r="B5" s="2120"/>
      <c r="C5" s="2120"/>
      <c r="D5" s="2120"/>
      <c r="E5" s="2120"/>
      <c r="F5" s="30"/>
      <c r="G5" s="278"/>
      <c r="H5" s="1378"/>
      <c r="I5" s="30"/>
      <c r="J5" s="30"/>
      <c r="K5" s="30"/>
      <c r="L5" s="130"/>
    </row>
    <row r="6" spans="1:12" ht="18.75" customHeight="1">
      <c r="A6" s="361" t="str">
        <f>'Exh D Governmental  '!A6</f>
        <v>FOR ELEVEN MONTHS ENDED FEBRUARY 28, 2025</v>
      </c>
      <c r="B6" s="30"/>
      <c r="C6" s="130"/>
      <c r="D6" s="30"/>
      <c r="E6" s="130"/>
      <c r="F6" s="30"/>
      <c r="G6" s="30"/>
      <c r="H6" s="1378"/>
      <c r="I6" s="30"/>
      <c r="J6" s="30"/>
      <c r="K6" s="30"/>
      <c r="L6" s="130"/>
    </row>
    <row r="7" spans="1:12" ht="18.75" customHeight="1">
      <c r="A7" s="51" t="s">
        <v>233</v>
      </c>
      <c r="B7" s="30"/>
      <c r="C7" s="130"/>
      <c r="D7" s="30"/>
      <c r="E7" s="130"/>
      <c r="F7" s="30"/>
      <c r="G7" s="30"/>
      <c r="H7" s="1378"/>
      <c r="I7" s="30"/>
      <c r="J7" s="30"/>
      <c r="K7" s="30"/>
      <c r="L7" s="130"/>
    </row>
    <row r="8" spans="1:12" ht="15" customHeight="1">
      <c r="A8" s="34"/>
      <c r="B8" s="30"/>
      <c r="C8" s="130"/>
      <c r="D8" s="30"/>
      <c r="E8" s="130"/>
      <c r="F8" s="30"/>
      <c r="G8" s="30"/>
      <c r="H8" s="1378"/>
      <c r="I8" s="30"/>
      <c r="J8" s="30"/>
      <c r="K8" s="30"/>
      <c r="L8" s="130"/>
    </row>
    <row r="9" spans="1:12">
      <c r="A9" s="35"/>
      <c r="B9" s="30"/>
      <c r="C9" s="130"/>
      <c r="D9" s="30"/>
      <c r="E9" s="130"/>
      <c r="F9" s="30"/>
      <c r="G9" s="30"/>
      <c r="H9" s="1378"/>
      <c r="I9" s="30"/>
      <c r="J9" s="30"/>
      <c r="K9" s="30"/>
      <c r="L9" s="130"/>
    </row>
    <row r="10" spans="1:12">
      <c r="A10" s="35"/>
      <c r="B10" s="30"/>
      <c r="C10" s="130"/>
      <c r="D10" s="30"/>
      <c r="E10" s="130"/>
      <c r="F10" s="30"/>
      <c r="G10" s="30"/>
      <c r="H10" s="1378"/>
      <c r="I10" s="30"/>
      <c r="J10" s="30"/>
      <c r="K10" s="30"/>
      <c r="L10" s="130"/>
    </row>
    <row r="11" spans="1:12">
      <c r="C11" s="2115" t="s">
        <v>262</v>
      </c>
      <c r="D11" s="2115"/>
      <c r="E11" s="2115"/>
      <c r="F11" s="2115"/>
      <c r="G11" s="2115"/>
      <c r="H11" s="2115"/>
      <c r="I11" s="2115"/>
      <c r="J11" s="438"/>
      <c r="K11" s="1033"/>
    </row>
    <row r="12" spans="1:12">
      <c r="C12" s="131"/>
      <c r="D12" s="55"/>
      <c r="E12" s="131"/>
      <c r="F12" s="55"/>
      <c r="G12" s="56"/>
      <c r="H12" s="1248"/>
      <c r="I12" s="55" t="s">
        <v>235</v>
      </c>
      <c r="J12" s="53"/>
      <c r="K12" s="55" t="s">
        <v>235</v>
      </c>
    </row>
    <row r="13" spans="1:12">
      <c r="B13" s="36"/>
      <c r="C13" s="132"/>
      <c r="D13" s="36"/>
      <c r="E13" s="132"/>
      <c r="F13" s="36"/>
      <c r="G13" s="36"/>
      <c r="H13" s="1248"/>
      <c r="I13" s="37" t="s">
        <v>236</v>
      </c>
      <c r="J13" s="37"/>
      <c r="K13" s="37" t="s">
        <v>236</v>
      </c>
      <c r="L13" s="132"/>
    </row>
    <row r="14" spans="1:12">
      <c r="B14" s="57"/>
      <c r="C14" s="38" t="s">
        <v>238</v>
      </c>
      <c r="D14" s="36"/>
      <c r="E14" s="37" t="s">
        <v>239</v>
      </c>
      <c r="F14" s="36"/>
      <c r="G14" s="36"/>
      <c r="H14" s="1248"/>
      <c r="I14" s="37" t="s">
        <v>240</v>
      </c>
      <c r="J14" s="37"/>
      <c r="K14" s="37" t="s">
        <v>240</v>
      </c>
      <c r="L14" s="403"/>
    </row>
    <row r="15" spans="1:12">
      <c r="B15" s="57"/>
      <c r="C15" s="37" t="s">
        <v>241</v>
      </c>
      <c r="D15" s="36"/>
      <c r="E15" s="37" t="s">
        <v>241</v>
      </c>
      <c r="F15" s="36"/>
      <c r="G15" s="36"/>
      <c r="H15" s="1248"/>
      <c r="I15" s="37" t="s">
        <v>238</v>
      </c>
      <c r="J15" s="37"/>
      <c r="K15" s="37" t="s">
        <v>239</v>
      </c>
      <c r="L15" s="403"/>
    </row>
    <row r="16" spans="1:12">
      <c r="B16" s="37"/>
      <c r="C16" s="37" t="s">
        <v>242</v>
      </c>
      <c r="D16" s="36"/>
      <c r="E16" s="37" t="s">
        <v>1522</v>
      </c>
      <c r="F16" s="36"/>
      <c r="G16" s="38" t="s">
        <v>235</v>
      </c>
      <c r="H16" s="1248"/>
      <c r="I16" s="37" t="s">
        <v>243</v>
      </c>
      <c r="J16" s="37"/>
      <c r="K16" s="37" t="s">
        <v>243</v>
      </c>
      <c r="L16" s="38"/>
    </row>
    <row r="17" spans="1:14">
      <c r="A17" s="39"/>
      <c r="B17" s="30"/>
      <c r="C17" s="1032"/>
      <c r="D17" s="30"/>
      <c r="E17" s="1032"/>
      <c r="F17" s="30"/>
      <c r="G17" s="1032"/>
      <c r="H17" s="1378"/>
      <c r="I17" s="1032"/>
      <c r="J17" s="30"/>
      <c r="K17" s="1032"/>
      <c r="L17" s="30"/>
    </row>
    <row r="18" spans="1:14">
      <c r="A18" s="3" t="s">
        <v>114</v>
      </c>
      <c r="C18" s="266"/>
      <c r="E18" s="266"/>
      <c r="L18" s="266"/>
    </row>
    <row r="19" spans="1:14">
      <c r="A19" s="360" t="s">
        <v>244</v>
      </c>
      <c r="B19" s="389"/>
      <c r="C19" s="266"/>
      <c r="D19" s="389"/>
      <c r="E19" s="266"/>
      <c r="F19" s="389"/>
      <c r="L19" s="266"/>
    </row>
    <row r="20" spans="1:14">
      <c r="A20" s="360" t="s">
        <v>245</v>
      </c>
      <c r="B20" s="389" t="s">
        <v>103</v>
      </c>
      <c r="C20" s="287">
        <v>24435</v>
      </c>
      <c r="D20" s="286"/>
      <c r="E20" s="287">
        <v>26578</v>
      </c>
      <c r="F20" s="286"/>
      <c r="G20" s="284">
        <f>'Exhibit F'!AC27</f>
        <v>26591.599999999999</v>
      </c>
      <c r="I20" s="284">
        <f>G20-C20</f>
        <v>2156.5999999999985</v>
      </c>
      <c r="K20" s="284">
        <f>G20-E20</f>
        <v>13.599999999998545</v>
      </c>
      <c r="L20" s="1592"/>
      <c r="M20" s="1567"/>
      <c r="N20" s="1567"/>
    </row>
    <row r="21" spans="1:14">
      <c r="A21" s="360" t="s">
        <v>246</v>
      </c>
      <c r="B21" s="266" t="s">
        <v>103</v>
      </c>
      <c r="C21" s="285">
        <v>9167</v>
      </c>
      <c r="D21" s="1885"/>
      <c r="E21" s="285">
        <v>9198</v>
      </c>
      <c r="F21" s="274"/>
      <c r="G21" s="274">
        <f>'Exhibit F'!AC38</f>
        <v>9201.7999999999993</v>
      </c>
      <c r="I21" s="274">
        <f t="shared" ref="I21:I24" si="0">G21-C21</f>
        <v>34.799999999999272</v>
      </c>
      <c r="K21" s="274">
        <f t="shared" ref="K21:K30" si="1">G21-E21</f>
        <v>3.7999999999992724</v>
      </c>
      <c r="L21" s="1593"/>
      <c r="M21" s="1567"/>
      <c r="N21" s="1567"/>
    </row>
    <row r="22" spans="1:14">
      <c r="A22" s="360" t="s">
        <v>247</v>
      </c>
      <c r="B22" s="389" t="s">
        <v>103</v>
      </c>
      <c r="C22" s="285">
        <v>12686</v>
      </c>
      <c r="D22" s="377"/>
      <c r="E22" s="285">
        <v>12656</v>
      </c>
      <c r="F22" s="297"/>
      <c r="G22" s="274">
        <f>'Exhibit F'!AC46</f>
        <v>12830.1</v>
      </c>
      <c r="I22" s="274">
        <f t="shared" si="0"/>
        <v>144.10000000000036</v>
      </c>
      <c r="K22" s="274">
        <f t="shared" si="1"/>
        <v>174.10000000000036</v>
      </c>
      <c r="L22" s="1593"/>
      <c r="M22" s="1567"/>
      <c r="N22" s="1567"/>
    </row>
    <row r="23" spans="1:14">
      <c r="A23" s="360" t="s">
        <v>248</v>
      </c>
      <c r="B23" s="266" t="s">
        <v>103</v>
      </c>
      <c r="C23" s="285">
        <v>1293</v>
      </c>
      <c r="D23" s="1885"/>
      <c r="E23" s="285">
        <v>1289</v>
      </c>
      <c r="F23" s="274"/>
      <c r="G23" s="274">
        <f>'Exhibit F'!AC54</f>
        <v>1232.0999999999999</v>
      </c>
      <c r="I23" s="274">
        <f t="shared" si="0"/>
        <v>-60.900000000000091</v>
      </c>
      <c r="K23" s="274">
        <f t="shared" si="1"/>
        <v>-56.900000000000091</v>
      </c>
      <c r="L23" s="1594"/>
      <c r="M23" s="1567"/>
      <c r="N23" s="1567"/>
    </row>
    <row r="24" spans="1:14" ht="15" customHeight="1">
      <c r="A24" s="360" t="s">
        <v>119</v>
      </c>
      <c r="B24" s="266" t="s">
        <v>103</v>
      </c>
      <c r="C24" s="285">
        <v>3831</v>
      </c>
      <c r="D24" s="1886"/>
      <c r="E24" s="285">
        <v>4108</v>
      </c>
      <c r="F24" s="1229"/>
      <c r="G24" s="299">
        <f>'Exhibit F'!AC97</f>
        <v>4193.8999999999996</v>
      </c>
      <c r="I24" s="274">
        <f t="shared" si="0"/>
        <v>362.89999999999964</v>
      </c>
      <c r="K24" s="274">
        <f t="shared" si="1"/>
        <v>85.899999999999636</v>
      </c>
      <c r="L24" s="1594"/>
      <c r="M24" s="1567"/>
      <c r="N24" s="1567"/>
    </row>
    <row r="25" spans="1:14" ht="15" customHeight="1">
      <c r="A25" s="360" t="s">
        <v>120</v>
      </c>
      <c r="B25" s="266" t="s">
        <v>103</v>
      </c>
      <c r="C25" s="285">
        <v>0</v>
      </c>
      <c r="D25" s="1885"/>
      <c r="E25" s="285">
        <v>3650</v>
      </c>
      <c r="F25" s="274"/>
      <c r="G25" s="299">
        <f>'Exhibit F'!AC99</f>
        <v>3649.9</v>
      </c>
      <c r="I25" s="274">
        <f t="shared" ref="I25:I30" si="2">G25-C25</f>
        <v>3649.9</v>
      </c>
      <c r="K25" s="274">
        <f t="shared" si="1"/>
        <v>-9.9999999999909051E-2</v>
      </c>
      <c r="L25" s="1593"/>
      <c r="M25" s="1567"/>
      <c r="N25" s="1567"/>
    </row>
    <row r="26" spans="1:14" ht="18" customHeight="1">
      <c r="A26" s="360" t="s">
        <v>263</v>
      </c>
      <c r="B26" s="399"/>
      <c r="C26" s="285"/>
      <c r="D26" s="1885"/>
      <c r="E26" s="285"/>
      <c r="F26" s="274"/>
      <c r="G26" s="1894"/>
      <c r="I26" s="274"/>
      <c r="J26" s="399"/>
      <c r="K26" s="274" t="s">
        <v>103</v>
      </c>
      <c r="L26" s="1595"/>
      <c r="M26" s="1567"/>
      <c r="N26" s="1567"/>
    </row>
    <row r="27" spans="1:14">
      <c r="A27" s="360" t="s">
        <v>264</v>
      </c>
      <c r="B27" s="399" t="s">
        <v>103</v>
      </c>
      <c r="C27" s="285">
        <v>28987</v>
      </c>
      <c r="D27" s="1885"/>
      <c r="E27" s="285">
        <v>31485</v>
      </c>
      <c r="F27" s="274"/>
      <c r="G27" s="274">
        <f>'Exhibit F'!AC128</f>
        <v>31714.9</v>
      </c>
      <c r="I27" s="274">
        <f t="shared" si="2"/>
        <v>2727.9000000000015</v>
      </c>
      <c r="J27" s="399"/>
      <c r="K27" s="274">
        <f t="shared" si="1"/>
        <v>229.90000000000146</v>
      </c>
      <c r="L27" s="1595"/>
      <c r="M27" s="1567"/>
      <c r="N27" s="1567"/>
    </row>
    <row r="28" spans="1:14">
      <c r="A28" s="360" t="s">
        <v>265</v>
      </c>
      <c r="B28" s="399" t="s">
        <v>103</v>
      </c>
      <c r="C28" s="285">
        <v>8050</v>
      </c>
      <c r="D28" s="1885"/>
      <c r="E28" s="285">
        <v>8286</v>
      </c>
      <c r="F28" s="274"/>
      <c r="G28" s="299">
        <f>'Exhibit F'!AC129</f>
        <v>8087.3</v>
      </c>
      <c r="I28" s="274">
        <f t="shared" si="2"/>
        <v>37.300000000000182</v>
      </c>
      <c r="J28" s="399"/>
      <c r="K28" s="274">
        <f t="shared" si="1"/>
        <v>-198.69999999999982</v>
      </c>
      <c r="L28" s="1595"/>
      <c r="M28" s="1567"/>
      <c r="N28" s="1567"/>
    </row>
    <row r="29" spans="1:14">
      <c r="A29" s="360" t="s">
        <v>266</v>
      </c>
      <c r="B29" s="399" t="s">
        <v>103</v>
      </c>
      <c r="C29" s="285">
        <v>811</v>
      </c>
      <c r="D29" s="1885"/>
      <c r="E29" s="285">
        <v>863</v>
      </c>
      <c r="F29" s="274"/>
      <c r="G29" s="274">
        <f>'Exhibit F'!AC130</f>
        <v>900.5</v>
      </c>
      <c r="I29" s="274">
        <f t="shared" si="2"/>
        <v>89.5</v>
      </c>
      <c r="J29" s="399"/>
      <c r="K29" s="274">
        <f t="shared" si="1"/>
        <v>37.5</v>
      </c>
      <c r="L29" s="1595"/>
      <c r="M29" s="1567"/>
      <c r="N29" s="1567"/>
    </row>
    <row r="30" spans="1:14">
      <c r="A30" s="360" t="s">
        <v>267</v>
      </c>
      <c r="B30" s="399" t="s">
        <v>103</v>
      </c>
      <c r="C30" s="285">
        <v>2251</v>
      </c>
      <c r="D30" s="1885"/>
      <c r="E30" s="285">
        <v>2110</v>
      </c>
      <c r="F30" s="274"/>
      <c r="G30" s="299">
        <f>'Exhibit F'!AC131</f>
        <v>2867.3999999999942</v>
      </c>
      <c r="I30" s="274">
        <f t="shared" si="2"/>
        <v>616.39999999999418</v>
      </c>
      <c r="J30" s="399"/>
      <c r="K30" s="274">
        <f t="shared" si="1"/>
        <v>757.39999999999418</v>
      </c>
      <c r="L30" s="1596"/>
      <c r="M30" s="1567"/>
      <c r="N30" s="1567"/>
    </row>
    <row r="31" spans="1:14" ht="18" customHeight="1">
      <c r="A31" s="1248" t="s">
        <v>268</v>
      </c>
      <c r="B31" s="36" t="s">
        <v>103</v>
      </c>
      <c r="C31" s="631">
        <f>ROUND(SUM(C20:C30),1)</f>
        <v>91511</v>
      </c>
      <c r="D31" s="13"/>
      <c r="E31" s="631">
        <f>ROUND(SUM(E20:E30),1)</f>
        <v>100223</v>
      </c>
      <c r="F31" s="13"/>
      <c r="G31" s="631">
        <f>ROUND(SUM(G20:G30),1)</f>
        <v>101269.5</v>
      </c>
      <c r="H31" s="1248"/>
      <c r="I31" s="630">
        <f>ROUND(SUM(I20:I30),1)</f>
        <v>9758.5</v>
      </c>
      <c r="J31" s="36"/>
      <c r="K31" s="630">
        <f>ROUND(SUM(K20:K30),1)</f>
        <v>1046.5</v>
      </c>
      <c r="L31" s="1597"/>
      <c r="M31" s="1567"/>
      <c r="N31" s="1567"/>
    </row>
    <row r="32" spans="1:14">
      <c r="C32" s="629"/>
      <c r="D32" s="274"/>
      <c r="E32" s="629"/>
      <c r="F32" s="274"/>
      <c r="G32" s="629"/>
      <c r="I32" s="274"/>
      <c r="K32" s="274"/>
      <c r="L32" s="1567"/>
      <c r="M32" s="1567"/>
      <c r="N32" s="1567"/>
    </row>
    <row r="33" spans="1:15">
      <c r="A33" s="3" t="s">
        <v>122</v>
      </c>
      <c r="C33" s="274"/>
      <c r="D33" s="274"/>
      <c r="E33" s="274"/>
      <c r="F33" s="274"/>
      <c r="G33" s="274"/>
      <c r="I33" s="274"/>
      <c r="K33" s="274"/>
      <c r="L33" s="1567"/>
      <c r="M33" s="1567"/>
      <c r="N33" s="1567"/>
    </row>
    <row r="34" spans="1:15">
      <c r="A34" s="360" t="s">
        <v>250</v>
      </c>
      <c r="B34" s="389" t="s">
        <v>103</v>
      </c>
      <c r="C34" s="285">
        <v>62511</v>
      </c>
      <c r="D34" s="1885"/>
      <c r="E34" s="285">
        <v>61922</v>
      </c>
      <c r="F34" s="274"/>
      <c r="G34" s="299">
        <f>'Exhibit F'!AC115</f>
        <v>60689.7</v>
      </c>
      <c r="I34" s="274">
        <f t="shared" ref="I34:I42" si="3">G34-C34</f>
        <v>-1821.3000000000029</v>
      </c>
      <c r="K34" s="274">
        <f t="shared" ref="K34:K36" si="4">G34-E34</f>
        <v>-1232.3000000000029</v>
      </c>
      <c r="L34" s="1592"/>
      <c r="M34" s="1567"/>
      <c r="N34" s="1567"/>
    </row>
    <row r="35" spans="1:15">
      <c r="A35" s="360" t="s">
        <v>251</v>
      </c>
      <c r="B35" s="389" t="s">
        <v>103</v>
      </c>
      <c r="C35" s="285">
        <v>12258</v>
      </c>
      <c r="D35" s="1885"/>
      <c r="E35" s="285">
        <v>12452</v>
      </c>
      <c r="F35" s="274"/>
      <c r="G35" s="299">
        <f>'Exhibit F'!AC117+'Exhibit F'!AC118</f>
        <v>12400.300000000001</v>
      </c>
      <c r="I35" s="274">
        <f t="shared" si="3"/>
        <v>142.30000000000109</v>
      </c>
      <c r="K35" s="274">
        <f t="shared" si="4"/>
        <v>-51.699999999998909</v>
      </c>
      <c r="L35" s="1592"/>
      <c r="M35" s="1567"/>
      <c r="N35" s="1567"/>
    </row>
    <row r="36" spans="1:15">
      <c r="A36" s="360" t="s">
        <v>216</v>
      </c>
      <c r="B36" s="389" t="s">
        <v>103</v>
      </c>
      <c r="C36" s="285">
        <v>6615</v>
      </c>
      <c r="D36" s="1885"/>
      <c r="E36" s="285">
        <v>6559</v>
      </c>
      <c r="F36" s="274"/>
      <c r="G36" s="299">
        <f>'Exhibit F'!AC119</f>
        <v>7980</v>
      </c>
      <c r="I36" s="274">
        <f t="shared" si="3"/>
        <v>1365</v>
      </c>
      <c r="K36" s="274">
        <f t="shared" si="4"/>
        <v>1421</v>
      </c>
      <c r="L36" s="1592"/>
      <c r="M36" s="1567"/>
      <c r="N36" s="1567"/>
    </row>
    <row r="37" spans="1:15" ht="18" customHeight="1">
      <c r="A37" s="360" t="s">
        <v>269</v>
      </c>
      <c r="B37" s="399"/>
      <c r="C37" s="285"/>
      <c r="D37" s="1885"/>
      <c r="E37" s="285"/>
      <c r="F37" s="274"/>
      <c r="G37" s="285"/>
      <c r="I37" s="274"/>
      <c r="J37" s="399"/>
      <c r="K37" s="274" t="s">
        <v>237</v>
      </c>
      <c r="L37" s="1596"/>
      <c r="M37" s="1567"/>
      <c r="N37" s="1567"/>
    </row>
    <row r="38" spans="1:15">
      <c r="A38" s="360" t="s">
        <v>270</v>
      </c>
      <c r="B38" s="399" t="s">
        <v>103</v>
      </c>
      <c r="C38" s="285">
        <v>301</v>
      </c>
      <c r="D38" s="1885"/>
      <c r="E38" s="285">
        <v>287</v>
      </c>
      <c r="F38" s="274"/>
      <c r="G38" s="298">
        <f>-'Exhibit F'!AC134</f>
        <v>284.7</v>
      </c>
      <c r="I38" s="274">
        <f t="shared" si="3"/>
        <v>-16.300000000000011</v>
      </c>
      <c r="J38" s="399"/>
      <c r="K38" s="274">
        <f t="shared" ref="K38:K42" si="5">G38-E38</f>
        <v>-2.3000000000000114</v>
      </c>
      <c r="L38" s="1595"/>
      <c r="M38" s="1567"/>
      <c r="N38" s="1567"/>
    </row>
    <row r="39" spans="1:15">
      <c r="A39" s="360" t="s">
        <v>271</v>
      </c>
      <c r="B39" s="399" t="s">
        <v>103</v>
      </c>
      <c r="C39" s="285">
        <v>7608</v>
      </c>
      <c r="D39" s="1885"/>
      <c r="E39" s="285">
        <v>7025</v>
      </c>
      <c r="F39" s="274"/>
      <c r="G39" s="298">
        <f>-'Exhibit F'!AC132-'Exhibit F'!AC133</f>
        <v>6296.2</v>
      </c>
      <c r="H39" s="360" t="s">
        <v>103</v>
      </c>
      <c r="I39" s="274">
        <f t="shared" si="3"/>
        <v>-1311.8000000000002</v>
      </c>
      <c r="J39" s="399"/>
      <c r="K39" s="274">
        <f t="shared" si="5"/>
        <v>-728.80000000000018</v>
      </c>
      <c r="L39" s="1595"/>
      <c r="M39" s="1567"/>
      <c r="N39" s="1567"/>
    </row>
    <row r="40" spans="1:15">
      <c r="A40" s="360" t="s">
        <v>272</v>
      </c>
      <c r="B40" s="399" t="s">
        <v>103</v>
      </c>
      <c r="C40" s="285">
        <v>0</v>
      </c>
      <c r="D40" s="1885"/>
      <c r="E40" s="285">
        <v>0</v>
      </c>
      <c r="F40" s="274"/>
      <c r="G40" s="285">
        <v>483.1</v>
      </c>
      <c r="H40" s="301" t="s">
        <v>261</v>
      </c>
      <c r="I40" s="274">
        <f t="shared" si="3"/>
        <v>483.1</v>
      </c>
      <c r="J40" s="399"/>
      <c r="K40" s="274">
        <f t="shared" si="5"/>
        <v>483.1</v>
      </c>
      <c r="L40" s="1595"/>
      <c r="M40" s="1567"/>
      <c r="N40" s="1567"/>
      <c r="O40" s="1567"/>
    </row>
    <row r="41" spans="1:15">
      <c r="A41" s="360" t="s">
        <v>274</v>
      </c>
      <c r="B41" s="399" t="s">
        <v>275</v>
      </c>
      <c r="C41" s="285">
        <v>1649</v>
      </c>
      <c r="D41" s="1885"/>
      <c r="E41" s="285">
        <v>1567</v>
      </c>
      <c r="F41" s="274"/>
      <c r="G41" s="285">
        <v>1515.7</v>
      </c>
      <c r="I41" s="274">
        <f t="shared" si="3"/>
        <v>-133.29999999999995</v>
      </c>
      <c r="J41" s="399"/>
      <c r="K41" s="274">
        <f t="shared" si="5"/>
        <v>-51.299999999999955</v>
      </c>
      <c r="L41" s="1595"/>
      <c r="M41" s="1567"/>
      <c r="N41" s="1567"/>
      <c r="O41" s="1567"/>
    </row>
    <row r="42" spans="1:15">
      <c r="A42" s="360" t="s">
        <v>276</v>
      </c>
      <c r="B42" s="399" t="s">
        <v>103</v>
      </c>
      <c r="C42" s="285">
        <v>1662</v>
      </c>
      <c r="D42" s="1885"/>
      <c r="E42" s="285">
        <v>1344</v>
      </c>
      <c r="F42" s="274"/>
      <c r="G42" s="285">
        <v>999.19999999999959</v>
      </c>
      <c r="I42" s="274">
        <f t="shared" si="3"/>
        <v>-662.80000000000041</v>
      </c>
      <c r="J42" s="399"/>
      <c r="K42" s="274">
        <f t="shared" si="5"/>
        <v>-344.80000000000041</v>
      </c>
      <c r="L42" s="1596"/>
      <c r="M42" s="1567"/>
      <c r="N42" s="1567"/>
      <c r="O42" s="1567"/>
    </row>
    <row r="43" spans="1:15" ht="18" customHeight="1">
      <c r="A43" s="1248" t="s">
        <v>277</v>
      </c>
      <c r="B43" s="36" t="s">
        <v>103</v>
      </c>
      <c r="C43" s="631">
        <f>ROUND(SUM(C34:C42),1)</f>
        <v>92604</v>
      </c>
      <c r="D43" s="13"/>
      <c r="E43" s="631">
        <f>ROUND(SUM(E34:E42),1)</f>
        <v>91156</v>
      </c>
      <c r="F43" s="13"/>
      <c r="G43" s="631">
        <f>ROUND(SUM(G34:G42),1)</f>
        <v>90648.9</v>
      </c>
      <c r="H43" s="1248"/>
      <c r="I43" s="630">
        <f>ROUND(SUM(I34:I42),1)</f>
        <v>-1955.1</v>
      </c>
      <c r="J43" s="36"/>
      <c r="K43" s="630">
        <f>ROUND(SUM(K34:K42),1)</f>
        <v>-507.1</v>
      </c>
      <c r="L43" s="1597"/>
      <c r="M43" s="1567"/>
      <c r="N43" s="1567"/>
      <c r="O43" s="1567"/>
    </row>
    <row r="44" spans="1:15">
      <c r="C44" s="629"/>
      <c r="D44" s="274"/>
      <c r="E44" s="629"/>
      <c r="F44" s="274"/>
      <c r="G44" s="629"/>
      <c r="I44" s="274"/>
      <c r="K44" s="274"/>
      <c r="L44" s="1567"/>
      <c r="M44" s="1567"/>
      <c r="N44" s="1567"/>
    </row>
    <row r="45" spans="1:15">
      <c r="A45" s="3" t="s">
        <v>278</v>
      </c>
      <c r="C45" s="274"/>
      <c r="D45" s="274"/>
      <c r="E45" s="274"/>
      <c r="F45" s="274"/>
      <c r="G45" s="274"/>
      <c r="I45" s="274"/>
      <c r="K45" s="274"/>
      <c r="L45" s="1567"/>
      <c r="M45" s="1567"/>
      <c r="N45" s="1567"/>
    </row>
    <row r="46" spans="1:15">
      <c r="A46" s="3" t="s">
        <v>279</v>
      </c>
      <c r="C46" s="274"/>
      <c r="D46" s="274"/>
      <c r="E46" s="274"/>
      <c r="F46" s="274"/>
      <c r="G46" s="274"/>
      <c r="I46" s="274"/>
      <c r="K46" s="274"/>
      <c r="L46" s="1567"/>
      <c r="M46" s="1567"/>
      <c r="N46" s="1567"/>
    </row>
    <row r="47" spans="1:15">
      <c r="A47" s="1248" t="s">
        <v>259</v>
      </c>
      <c r="B47" s="1247" t="s">
        <v>103</v>
      </c>
      <c r="C47" s="13">
        <f>ROUND(SUM(C31)-SUM(C43),1)</f>
        <v>-1093</v>
      </c>
      <c r="D47" s="18"/>
      <c r="E47" s="13">
        <f>ROUND(SUM(E31)-SUM(E43),1)</f>
        <v>9067</v>
      </c>
      <c r="F47" s="18"/>
      <c r="G47" s="13">
        <f>ROUND(SUM(G31)-SUM(G43),1)</f>
        <v>10620.6</v>
      </c>
      <c r="H47" s="1248"/>
      <c r="I47" s="13">
        <f>ROUND(SUM(I31)-SUM(I43),1)</f>
        <v>11713.6</v>
      </c>
      <c r="J47" s="36"/>
      <c r="K47" s="13">
        <f>ROUND(SUM(K31)-SUM(K43),1)</f>
        <v>1553.6</v>
      </c>
      <c r="L47" s="1597"/>
      <c r="M47" s="1567"/>
      <c r="N47" s="1567"/>
    </row>
    <row r="48" spans="1:15" ht="15" customHeight="1">
      <c r="C48" s="274"/>
      <c r="D48" s="274"/>
      <c r="E48" s="274"/>
      <c r="F48" s="274"/>
      <c r="G48" s="274"/>
      <c r="I48" s="13"/>
      <c r="J48" s="36"/>
      <c r="K48" s="13"/>
      <c r="L48" s="1567"/>
      <c r="M48" s="1567"/>
      <c r="N48" s="1567"/>
    </row>
    <row r="49" spans="1:14">
      <c r="A49" s="1248" t="str">
        <f>'Exh D Governmental  '!A49</f>
        <v>Fund Balances (Deficits) at April 1</v>
      </c>
      <c r="B49" s="266" t="s">
        <v>103</v>
      </c>
      <c r="C49" s="13">
        <v>46331</v>
      </c>
      <c r="D49" s="274"/>
      <c r="E49" s="13">
        <v>46331</v>
      </c>
      <c r="F49" s="274"/>
      <c r="G49" s="13">
        <v>46330.9</v>
      </c>
      <c r="I49" s="13">
        <f t="shared" ref="I49" si="6">G49-C49</f>
        <v>-9.9999999998544808E-2</v>
      </c>
      <c r="J49" s="36"/>
      <c r="K49" s="13">
        <f t="shared" ref="K49" si="7">G49-E49</f>
        <v>-9.9999999998544808E-2</v>
      </c>
      <c r="L49" s="1597"/>
      <c r="M49" s="1567"/>
      <c r="N49" s="1567"/>
    </row>
    <row r="50" spans="1:14" ht="18" customHeight="1" thickBot="1">
      <c r="A50" s="1248" t="str">
        <f>'Exh D Governmental  '!A50</f>
        <v>Fund Balances (Deficits) at February 28, 2025</v>
      </c>
      <c r="B50" s="43" t="s">
        <v>103</v>
      </c>
      <c r="C50" s="688">
        <f>ROUND(SUM(C47:C49),1)</f>
        <v>45238</v>
      </c>
      <c r="D50" s="44"/>
      <c r="E50" s="688">
        <f>ROUND(SUM(E47:E49),1)</f>
        <v>55398</v>
      </c>
      <c r="F50" s="44"/>
      <c r="G50" s="688">
        <f>ROUND(SUM(G47:G49),1)</f>
        <v>56951.5</v>
      </c>
      <c r="H50" s="1248"/>
      <c r="I50" s="688">
        <f>ROUND(SUM(I47:I49),1)</f>
        <v>11713.5</v>
      </c>
      <c r="J50" s="36"/>
      <c r="K50" s="688">
        <f>ROUND(SUM(K47:K49),1)</f>
        <v>1553.5</v>
      </c>
      <c r="L50" s="1597"/>
      <c r="M50" s="1567"/>
      <c r="N50" s="1567"/>
    </row>
    <row r="51" spans="1:14" ht="15" customHeight="1" thickTop="1">
      <c r="A51" s="39"/>
      <c r="L51" s="300"/>
    </row>
    <row r="52" spans="1:14">
      <c r="A52" s="396" t="str">
        <f>'Exh D Governmental  '!A52</f>
        <v xml:space="preserve">(*)    Source: 2024-25 Enacted Budget dated May 24, 2024.  </v>
      </c>
      <c r="G52" s="1712"/>
    </row>
    <row r="53" spans="1:14">
      <c r="A53" s="396" t="str">
        <f>'Exh D Governmental  '!A53</f>
        <v>(**)   Source: 2025-26 Executive Budget with 30-day amendments dated February 20, 2025, which made no changes to the Executive Budget Financial Plan.</v>
      </c>
    </row>
    <row r="54" spans="1:14">
      <c r="A54" s="360" t="s">
        <v>1527</v>
      </c>
    </row>
    <row r="55" spans="1:14">
      <c r="A55" s="360" t="s">
        <v>280</v>
      </c>
    </row>
    <row r="60" spans="1:14">
      <c r="A60" s="360" t="s">
        <v>103</v>
      </c>
      <c r="C60" s="994"/>
    </row>
    <row r="61" spans="1:14">
      <c r="A61" s="360"/>
      <c r="C61" s="994"/>
      <c r="G61" s="266" t="s">
        <v>103</v>
      </c>
    </row>
    <row r="62" spans="1:14">
      <c r="C62" s="994"/>
    </row>
    <row r="63" spans="1:14">
      <c r="A63" s="861"/>
      <c r="C63" s="995"/>
    </row>
    <row r="64" spans="1:14">
      <c r="A64" s="59"/>
      <c r="C64" s="994"/>
    </row>
    <row r="65" spans="3:3">
      <c r="C65" s="994"/>
    </row>
  </sheetData>
  <mergeCells count="2">
    <mergeCell ref="A5:E5"/>
    <mergeCell ref="C11:I11"/>
  </mergeCells>
  <printOptions horizontalCentered="1"/>
  <pageMargins left="0.5" right="0.75" top="0.75" bottom="0.75" header="0.5" footer="0.25"/>
  <pageSetup scale="55" firstPageNumber="10"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2025-03-14T17:58:57Z</dcterms:created>
  <dcterms:modified xsi:type="dcterms:W3CDTF">2025-03-14T18:46:24Z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bddef3-8e59-45c1-bdac-d5d24c730409_Enabled">
    <vt:lpwstr>true</vt:lpwstr>
  </property>
  <property fmtid="{D5CDD505-2E9C-101B-9397-08002B2CF9AE}" pid="3" name="MSIP_Label_f7bddef3-8e59-45c1-bdac-d5d24c730409_SetDate">
    <vt:lpwstr>2025-03-14T18:04:09Z</vt:lpwstr>
  </property>
  <property fmtid="{D5CDD505-2E9C-101B-9397-08002B2CF9AE}" pid="4" name="MSIP_Label_f7bddef3-8e59-45c1-bdac-d5d24c730409_Method">
    <vt:lpwstr>Privileged</vt:lpwstr>
  </property>
  <property fmtid="{D5CDD505-2E9C-101B-9397-08002B2CF9AE}" pid="5" name="MSIP_Label_f7bddef3-8e59-45c1-bdac-d5d24c730409_Name">
    <vt:lpwstr>Public</vt:lpwstr>
  </property>
  <property fmtid="{D5CDD505-2E9C-101B-9397-08002B2CF9AE}" pid="6" name="MSIP_Label_f7bddef3-8e59-45c1-bdac-d5d24c730409_SiteId">
    <vt:lpwstr>23b2cc00-e776-44cb-a980-c7c90c455026</vt:lpwstr>
  </property>
  <property fmtid="{D5CDD505-2E9C-101B-9397-08002B2CF9AE}" pid="7" name="MSIP_Label_f7bddef3-8e59-45c1-bdac-d5d24c730409_ActionId">
    <vt:lpwstr>0f89d808-56f2-4514-82e3-13b6812074d0</vt:lpwstr>
  </property>
  <property fmtid="{D5CDD505-2E9C-101B-9397-08002B2CF9AE}" pid="8" name="MSIP_Label_f7bddef3-8e59-45c1-bdac-d5d24c730409_ContentBits">
    <vt:lpwstr>0</vt:lpwstr>
  </property>
  <property fmtid="{D5CDD505-2E9C-101B-9397-08002B2CF9AE}" pid="9" name="MSIP_Label_f7bddef3-8e59-45c1-bdac-d5d24c730409_Tag">
    <vt:lpwstr>10, 0, 1, 1</vt:lpwstr>
  </property>
</Properties>
</file>